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20" windowWidth="11340" windowHeight="6780" activeTab="2"/>
  </bookViews>
  <sheets>
    <sheet name="Características" sheetId="2" r:id="rId1"/>
    <sheet name="Habilidades" sheetId="8" r:id="rId2"/>
    <sheet name="Combate" sheetId="7" r:id="rId3"/>
    <sheet name="Magias" sheetId="6" r:id="rId4"/>
    <sheet name="Pertences" sheetId="9" r:id="rId5"/>
    <sheet name="Ficha" sheetId="1" r:id="rId6"/>
  </sheets>
  <externalReferences>
    <externalReference r:id="rId7"/>
  </externalReferences>
  <definedNames>
    <definedName name="_xlnm._FilterDatabase" localSheetId="5" hidden="1">Ficha!$EE$86:$EU$135</definedName>
    <definedName name="_xlnm._FilterDatabase" localSheetId="1" hidden="1">Habilidades!$A$8:$EO$31</definedName>
    <definedName name="_xlnm._FilterDatabase" localSheetId="3" hidden="1">Magias!$DA$7:$DA$9</definedName>
    <definedName name="AGI" localSheetId="3">Magias!#REF!</definedName>
    <definedName name="AGI">Ficha!$AJ$12</definedName>
    <definedName name="_xlnm.Print_Area" localSheetId="5">Ficha!$A$1:$EB$69</definedName>
    <definedName name="_xlnm.Print_Area" localSheetId="3">Magias!$B$6:$CP$34</definedName>
    <definedName name="AUR" localSheetId="3">Magias!#REF!</definedName>
    <definedName name="AUR">Ficha!$N$12</definedName>
    <definedName name="BonusMag1" localSheetId="3">Magias!#REF!</definedName>
    <definedName name="BonusMag1">Ficha!$DX$61</definedName>
    <definedName name="BonusMag2" localSheetId="3">Magias!#REF!</definedName>
    <definedName name="BonusMag2">Ficha!$DX$62</definedName>
    <definedName name="BonusMag3" localSheetId="3">Magias!#REF!</definedName>
    <definedName name="BonusMag3">Ficha!$DX$63</definedName>
    <definedName name="CAR" localSheetId="3">Magias!#REF!</definedName>
    <definedName name="CAR">Ficha!$N$14</definedName>
    <definedName name="CustoRastreador">Magias!$DB$1:$DB$32</definedName>
    <definedName name="EHSorteada">Características!$S$43</definedName>
    <definedName name="Equipa1" localSheetId="3">Magias!#REF!</definedName>
    <definedName name="Equipa1">Ficha!$B$55</definedName>
    <definedName name="Equipa2" localSheetId="3">Magias!#REF!</definedName>
    <definedName name="Equipa2">Ficha!$B$56</definedName>
    <definedName name="Equipa3" localSheetId="3">Magias!#REF!</definedName>
    <definedName name="Equipa3">Ficha!$B$57</definedName>
    <definedName name="Equipa4">Ficha!$AL$55</definedName>
    <definedName name="Equipa5">Ficha!$AL$56</definedName>
    <definedName name="Equipa6">Ficha!$AL$57</definedName>
    <definedName name="Especialização">Características!$E$13</definedName>
    <definedName name="Estagio" localSheetId="3">Magias!#REF!</definedName>
    <definedName name="Estagio">Ficha!$DG$2</definedName>
    <definedName name="FIS" localSheetId="3">Magias!#REF!</definedName>
    <definedName name="FIS">Ficha!$AJ$10</definedName>
    <definedName name="FOR" localSheetId="3">Magias!#REF!</definedName>
    <definedName name="FOR">Ficha!$N$16</definedName>
    <definedName name="HabilidadeEspecializadaEscolhida">Habilidades!$CQ$22</definedName>
    <definedName name="INT" localSheetId="3">Magias!#REF!</definedName>
    <definedName name="INT">Ficha!$N$10</definedName>
    <definedName name="ListaArmas">Ficha!$EE$87:$EE$135</definedName>
    <definedName name="matriz">#REF!</definedName>
    <definedName name="matriza">#REF!</definedName>
    <definedName name="PER" localSheetId="3">Magias!#REF!</definedName>
    <definedName name="PER">Ficha!$AJ$14</definedName>
    <definedName name="Profissao" localSheetId="3">Magias!#REF!</definedName>
    <definedName name="Profissao">Ficha!$M$4</definedName>
    <definedName name="Raça" localSheetId="3">Magias!#REF!</definedName>
    <definedName name="Raça">Ficha!$M$3</definedName>
    <definedName name="Rastreador">Magias!$DA$1:$DA$32</definedName>
    <definedName name="TabelaPontosCombate">Combate!$CO$4:$CQ$9</definedName>
    <definedName name="TabelaRaça" localSheetId="3">Magias!#REF!</definedName>
    <definedName name="TabelaRaça">Ficha!$DW$79:$DX$84</definedName>
    <definedName name="xxxx">[1]Ficha!$N$11</definedName>
  </definedNames>
  <calcPr calcId="145621"/>
</workbook>
</file>

<file path=xl/calcChain.xml><?xml version="1.0" encoding="utf-8"?>
<calcChain xmlns="http://schemas.openxmlformats.org/spreadsheetml/2006/main">
  <c r="AK8" i="7" l="1"/>
  <c r="AP8" i="7" s="1"/>
  <c r="AK9" i="7"/>
  <c r="AK10" i="7"/>
  <c r="AP10" i="7" s="1"/>
  <c r="AK11" i="7"/>
  <c r="AP11" i="7" s="1"/>
  <c r="AK12" i="7"/>
  <c r="AP12" i="7" s="1"/>
  <c r="AK13" i="7"/>
  <c r="AK14" i="7"/>
  <c r="AP14" i="7" s="1"/>
  <c r="AP9" i="7"/>
  <c r="AP13" i="7"/>
  <c r="AK7" i="7"/>
  <c r="AP7" i="7" s="1"/>
  <c r="DQ69" i="7" l="1"/>
  <c r="DP69" i="7"/>
  <c r="EC1" i="7"/>
  <c r="EB1" i="7"/>
  <c r="DM69" i="7"/>
  <c r="DL69" i="7"/>
  <c r="CI81" i="7"/>
  <c r="AM55" i="7"/>
  <c r="AM56" i="7"/>
  <c r="AM57" i="7"/>
  <c r="AM58" i="7"/>
  <c r="AM59" i="7"/>
  <c r="AM60" i="7"/>
  <c r="AM61" i="7"/>
  <c r="AM62" i="7"/>
  <c r="AM63" i="7"/>
  <c r="AM64" i="7"/>
  <c r="AM65" i="7"/>
  <c r="AM66" i="7"/>
  <c r="AM67" i="7"/>
  <c r="AM48" i="7"/>
  <c r="AM41" i="7"/>
  <c r="AM42" i="7"/>
  <c r="AM44" i="7"/>
  <c r="CI45" i="7"/>
  <c r="CI44" i="7"/>
  <c r="CI43" i="7"/>
  <c r="CI42" i="7"/>
  <c r="CI41" i="7"/>
  <c r="CI40" i="7"/>
  <c r="CI39" i="7"/>
  <c r="CI38" i="7"/>
  <c r="CI37" i="7"/>
  <c r="CI36" i="7"/>
  <c r="CI35" i="7"/>
  <c r="CI34" i="7"/>
  <c r="CI55" i="7"/>
  <c r="CI56" i="7"/>
  <c r="CI57" i="7"/>
  <c r="CI58" i="7"/>
  <c r="CI59" i="7"/>
  <c r="CI60" i="7"/>
  <c r="CI61" i="7"/>
  <c r="CI62" i="7"/>
  <c r="CI63" i="7"/>
  <c r="CI64" i="7"/>
  <c r="CI65" i="7"/>
  <c r="CI66" i="7"/>
  <c r="CI67" i="7"/>
  <c r="CI48" i="7"/>
  <c r="AC35" i="7"/>
  <c r="AC36" i="7"/>
  <c r="AC37" i="7"/>
  <c r="AC38" i="7"/>
  <c r="AC39" i="7"/>
  <c r="AC40" i="7"/>
  <c r="AC41" i="7"/>
  <c r="AC42" i="7"/>
  <c r="AC43" i="7"/>
  <c r="AC44" i="7"/>
  <c r="AC45" i="7"/>
  <c r="AC34" i="7"/>
  <c r="AH35" i="7"/>
  <c r="AH36" i="7"/>
  <c r="AH37" i="7"/>
  <c r="AH38" i="7"/>
  <c r="AH39" i="7"/>
  <c r="AH40" i="7"/>
  <c r="AH41" i="7"/>
  <c r="AH42" i="7"/>
  <c r="AH43" i="7"/>
  <c r="AH44" i="7"/>
  <c r="AH45" i="7"/>
  <c r="AH34" i="7"/>
  <c r="C35" i="7"/>
  <c r="C36" i="7"/>
  <c r="C37" i="7"/>
  <c r="C38" i="7"/>
  <c r="C39" i="7"/>
  <c r="C40" i="7"/>
  <c r="C41" i="7"/>
  <c r="C42" i="7"/>
  <c r="C43" i="7"/>
  <c r="C44" i="7"/>
  <c r="C45" i="7"/>
  <c r="CK69" i="7"/>
  <c r="CL69" i="7" s="1"/>
  <c r="C34" i="7"/>
  <c r="CM69" i="7" l="1"/>
  <c r="AB46" i="7"/>
  <c r="DI69" i="7"/>
  <c r="DH69" i="7"/>
  <c r="CS10" i="8"/>
  <c r="CS9" i="8"/>
  <c r="CS11" i="8"/>
  <c r="CS12" i="8"/>
  <c r="CS13" i="8"/>
  <c r="CS8" i="8"/>
  <c r="CO63" i="1" l="1"/>
  <c r="CO64" i="1"/>
  <c r="CO65" i="1"/>
  <c r="CO66" i="1"/>
  <c r="CO67" i="1"/>
  <c r="CO62" i="1"/>
  <c r="BH63" i="1"/>
  <c r="BH64" i="1"/>
  <c r="BH65" i="1"/>
  <c r="BH66" i="1"/>
  <c r="BH67" i="1"/>
  <c r="BH68" i="1"/>
  <c r="BH62" i="1"/>
  <c r="AE62" i="1"/>
  <c r="B62" i="1"/>
  <c r="DG4" i="1" l="1"/>
  <c r="DG3" i="1"/>
  <c r="AL56" i="1"/>
  <c r="AL57" i="1"/>
  <c r="B56" i="1"/>
  <c r="B57" i="1"/>
  <c r="B55" i="1"/>
  <c r="AL55" i="1"/>
  <c r="B53" i="1"/>
  <c r="AF53" i="1" s="1"/>
  <c r="AP53" i="1" l="1"/>
  <c r="AK53" i="1"/>
  <c r="DU69" i="7"/>
  <c r="DT69" i="7"/>
  <c r="DE69" i="7"/>
  <c r="DD69" i="7"/>
  <c r="DA69" i="7"/>
  <c r="CZ69" i="7"/>
  <c r="CW69" i="7"/>
  <c r="CV69" i="7"/>
  <c r="CS69" i="7"/>
  <c r="CR69" i="7"/>
  <c r="CK75" i="7" l="1"/>
  <c r="CL71" i="7"/>
  <c r="CL78" i="7"/>
  <c r="CK73" i="7"/>
  <c r="C73" i="7" s="1"/>
  <c r="CK80" i="7"/>
  <c r="CL76" i="7"/>
  <c r="CK71" i="7"/>
  <c r="C71" i="7" s="1"/>
  <c r="CK78" i="7"/>
  <c r="CL74" i="7"/>
  <c r="CL81" i="7"/>
  <c r="CK76" i="7"/>
  <c r="CK70" i="7"/>
  <c r="C70" i="7" s="1"/>
  <c r="CL72" i="7"/>
  <c r="CL79" i="7"/>
  <c r="CK74" i="7"/>
  <c r="C74" i="7" s="1"/>
  <c r="CK81" i="7"/>
  <c r="CL77" i="7"/>
  <c r="CK72" i="7"/>
  <c r="C72" i="7" s="1"/>
  <c r="CK79" i="7"/>
  <c r="CL75" i="7"/>
  <c r="CL70" i="7"/>
  <c r="CK77" i="7"/>
  <c r="CL73" i="7"/>
  <c r="CL80" i="7"/>
  <c r="CM80" i="7"/>
  <c r="CM74" i="7"/>
  <c r="CM75" i="7"/>
  <c r="CM73" i="7"/>
  <c r="CM78" i="7"/>
  <c r="CM79" i="7"/>
  <c r="CM72" i="7"/>
  <c r="CM77" i="7"/>
  <c r="CM70" i="7"/>
  <c r="CM76" i="7"/>
  <c r="CM81" i="7"/>
  <c r="CM71" i="7"/>
  <c r="AC72" i="7" l="1"/>
  <c r="CI72" i="7" s="1"/>
  <c r="AC70" i="7"/>
  <c r="CI70" i="7" s="1"/>
  <c r="AC73" i="7"/>
  <c r="CI73" i="7" s="1"/>
  <c r="AC74" i="7"/>
  <c r="CI74" i="7" s="1"/>
  <c r="AC71" i="7"/>
  <c r="CI71" i="7" s="1"/>
  <c r="AH75" i="7"/>
  <c r="C75" i="7"/>
  <c r="C78" i="7"/>
  <c r="AH78" i="7"/>
  <c r="AH80" i="7"/>
  <c r="C80" i="7"/>
  <c r="C79" i="7"/>
  <c r="AH79" i="7"/>
  <c r="C76" i="7"/>
  <c r="AH76" i="7"/>
  <c r="AH77" i="7"/>
  <c r="C77" i="7"/>
  <c r="C81" i="7"/>
  <c r="AC81" i="7" s="1"/>
  <c r="AH81" i="7"/>
  <c r="AM81" i="7" s="1"/>
  <c r="AH70" i="7"/>
  <c r="AH71" i="7"/>
  <c r="AH73" i="7"/>
  <c r="AH74" i="7"/>
  <c r="AH72" i="7"/>
  <c r="AC80" i="7" l="1"/>
  <c r="CI80" i="7" s="1"/>
  <c r="AC78" i="7"/>
  <c r="CI78" i="7" s="1"/>
  <c r="AC77" i="7"/>
  <c r="CI77" i="7" s="1"/>
  <c r="AC76" i="7"/>
  <c r="CI76" i="7" s="1"/>
  <c r="AC79" i="7"/>
  <c r="CI79" i="7" s="1"/>
  <c r="AC75" i="7"/>
  <c r="CI75" i="7" s="1"/>
  <c r="Z53" i="1"/>
  <c r="M5" i="1"/>
  <c r="M4" i="1"/>
  <c r="CV9" i="8"/>
  <c r="CV10" i="8"/>
  <c r="CV11" i="8"/>
  <c r="CV12" i="8"/>
  <c r="CV13" i="8"/>
  <c r="CV8" i="8"/>
  <c r="S6" i="8"/>
  <c r="AC51" i="7" l="1"/>
  <c r="CI51" i="7" s="1"/>
  <c r="AC55" i="7"/>
  <c r="AC59" i="7"/>
  <c r="AC63" i="7"/>
  <c r="AC67" i="7"/>
  <c r="AH51" i="7"/>
  <c r="AH55" i="7"/>
  <c r="AH59" i="7"/>
  <c r="AH63" i="7"/>
  <c r="AH67" i="7"/>
  <c r="C50" i="7"/>
  <c r="C54" i="7"/>
  <c r="C58" i="7"/>
  <c r="C62" i="7"/>
  <c r="C66" i="7"/>
  <c r="AC52" i="7"/>
  <c r="CI52" i="7" s="1"/>
  <c r="AC56" i="7"/>
  <c r="AC60" i="7"/>
  <c r="AC64" i="7"/>
  <c r="AC48" i="7"/>
  <c r="AH52" i="7"/>
  <c r="AH56" i="7"/>
  <c r="AH60" i="7"/>
  <c r="AH64" i="7"/>
  <c r="AH48" i="7"/>
  <c r="C51" i="7"/>
  <c r="C55" i="7"/>
  <c r="C59" i="7"/>
  <c r="C63" i="7"/>
  <c r="C48" i="7"/>
  <c r="AC49" i="7"/>
  <c r="CI49" i="7" s="1"/>
  <c r="AC53" i="7"/>
  <c r="CI53" i="7" s="1"/>
  <c r="AC57" i="7"/>
  <c r="AC61" i="7"/>
  <c r="AC65" i="7"/>
  <c r="AH49" i="7"/>
  <c r="AM49" i="7" s="1"/>
  <c r="AH53" i="7"/>
  <c r="AH57" i="7"/>
  <c r="AH61" i="7"/>
  <c r="AH65" i="7"/>
  <c r="C67" i="7"/>
  <c r="C52" i="7"/>
  <c r="C56" i="7"/>
  <c r="C60" i="7"/>
  <c r="C64" i="7"/>
  <c r="AC50" i="7"/>
  <c r="CI50" i="7" s="1"/>
  <c r="AC54" i="7"/>
  <c r="CI54" i="7" s="1"/>
  <c r="AC58" i="7"/>
  <c r="AC62" i="7"/>
  <c r="AC66" i="7"/>
  <c r="AH50" i="7"/>
  <c r="AH54" i="7"/>
  <c r="AH58" i="7"/>
  <c r="AH62" i="7"/>
  <c r="AH66" i="7"/>
  <c r="C49" i="7"/>
  <c r="C53" i="7"/>
  <c r="C57" i="7"/>
  <c r="C61" i="7"/>
  <c r="C65" i="7"/>
  <c r="AE53" i="1"/>
  <c r="CC31" i="8"/>
  <c r="CC11" i="8"/>
  <c r="CI82" i="7" l="1"/>
  <c r="AO23" i="8"/>
  <c r="AO22" i="8"/>
  <c r="AO21" i="8"/>
  <c r="AO19" i="8"/>
  <c r="AO18" i="8"/>
  <c r="AO17" i="8"/>
  <c r="AO31" i="8"/>
  <c r="AO30" i="8"/>
  <c r="AO29" i="8"/>
  <c r="AO28" i="8"/>
  <c r="AO27" i="8"/>
  <c r="AO26" i="8"/>
  <c r="AO25" i="8"/>
  <c r="CI15" i="8"/>
  <c r="CI14" i="8"/>
  <c r="CI13" i="8"/>
  <c r="CI12" i="8"/>
  <c r="CI10" i="8"/>
  <c r="CI11" i="8"/>
  <c r="CI9" i="8"/>
  <c r="AO15" i="8"/>
  <c r="AO14" i="8"/>
  <c r="AO13" i="8"/>
  <c r="CN31" i="8" l="1"/>
  <c r="AT31" i="8"/>
  <c r="CN30" i="8"/>
  <c r="AT30" i="8"/>
  <c r="CN29" i="8"/>
  <c r="AT29" i="8"/>
  <c r="CN28" i="8"/>
  <c r="AT28" i="8"/>
  <c r="CN27" i="8"/>
  <c r="AT27" i="8"/>
  <c r="CN26" i="8"/>
  <c r="AT26" i="8"/>
  <c r="CN25" i="8"/>
  <c r="AT25" i="8"/>
  <c r="CN23" i="8"/>
  <c r="AT23" i="8"/>
  <c r="CN22" i="8"/>
  <c r="AT22" i="8"/>
  <c r="CN21" i="8"/>
  <c r="AT21" i="8"/>
  <c r="CN20" i="8"/>
  <c r="AT20" i="8"/>
  <c r="CN19" i="8"/>
  <c r="AT19" i="8"/>
  <c r="CN18" i="8"/>
  <c r="AT18" i="8"/>
  <c r="CN17" i="8"/>
  <c r="AT17" i="8"/>
  <c r="CN14" i="8"/>
  <c r="AT14" i="8"/>
  <c r="CN10" i="8"/>
  <c r="AO10" i="8"/>
  <c r="AT10" i="8" s="1"/>
  <c r="CO69" i="1" l="1"/>
  <c r="DW46" i="1"/>
  <c r="DW47" i="1"/>
  <c r="DW48" i="1"/>
  <c r="DW49" i="1"/>
  <c r="DW50" i="1"/>
  <c r="DW51" i="1"/>
  <c r="DW52" i="1"/>
  <c r="CX1" i="6"/>
  <c r="M2" i="1"/>
  <c r="BH69" i="1"/>
  <c r="AE63" i="1"/>
  <c r="AE64" i="1"/>
  <c r="AE65" i="1"/>
  <c r="AE66" i="1"/>
  <c r="AE67" i="1"/>
  <c r="AE68" i="1"/>
  <c r="AE69" i="1"/>
  <c r="B63" i="1"/>
  <c r="B64" i="1"/>
  <c r="B65" i="1"/>
  <c r="B66" i="1"/>
  <c r="B67" i="1"/>
  <c r="B68" i="1"/>
  <c r="B69" i="1"/>
  <c r="DZ65" i="1"/>
  <c r="BJ56" i="1" s="1"/>
  <c r="DZ66" i="1"/>
  <c r="BJ57" i="1" s="1"/>
  <c r="DZ64" i="1"/>
  <c r="BJ55" i="1" s="1"/>
  <c r="DZ62" i="1"/>
  <c r="DZ63" i="1"/>
  <c r="DZ61" i="1"/>
  <c r="DX65" i="1"/>
  <c r="DX66" i="1"/>
  <c r="DX64" i="1"/>
  <c r="DW63" i="1"/>
  <c r="DW62" i="1"/>
  <c r="B52" i="1"/>
  <c r="B51" i="1"/>
  <c r="B34" i="7"/>
  <c r="AB68" i="7"/>
  <c r="DG2" i="1"/>
  <c r="DX62" i="1"/>
  <c r="DX63" i="1"/>
  <c r="DX61" i="1"/>
  <c r="B47" i="1"/>
  <c r="B48" i="1"/>
  <c r="B49" i="1"/>
  <c r="B50" i="1"/>
  <c r="B46" i="1"/>
  <c r="AT13" i="8"/>
  <c r="AO11" i="8"/>
  <c r="AT11" i="8" s="1"/>
  <c r="AT15" i="8"/>
  <c r="AO12" i="8"/>
  <c r="AT12" i="8" s="1"/>
  <c r="AO9" i="8"/>
  <c r="CN15" i="8"/>
  <c r="CN13" i="8"/>
  <c r="CN11" i="8"/>
  <c r="CN12" i="8"/>
  <c r="CN9" i="8"/>
  <c r="M3" i="1"/>
  <c r="AJ10" i="1"/>
  <c r="V18" i="2"/>
  <c r="DQ1" i="6"/>
  <c r="DT1" i="6"/>
  <c r="DW1" i="6"/>
  <c r="DB1" i="6"/>
  <c r="DK1" i="6"/>
  <c r="DH1" i="6"/>
  <c r="DE1" i="6"/>
  <c r="N16" i="1"/>
  <c r="CJ27" i="7" s="1"/>
  <c r="AM76" i="7" s="1"/>
  <c r="AJ12" i="1"/>
  <c r="N10" i="1"/>
  <c r="DN1" i="6"/>
  <c r="DZ1" i="6"/>
  <c r="EC1" i="6"/>
  <c r="EF1" i="6"/>
  <c r="EI1" i="6"/>
  <c r="EL1" i="6"/>
  <c r="EO1" i="6"/>
  <c r="ER1" i="6"/>
  <c r="EU1" i="6"/>
  <c r="EX1" i="6"/>
  <c r="FA1" i="6"/>
  <c r="FD1" i="6"/>
  <c r="FG1" i="6"/>
  <c r="FJ1" i="6"/>
  <c r="FM1" i="6"/>
  <c r="FP1" i="6"/>
  <c r="FS1" i="6"/>
  <c r="FV1" i="6"/>
  <c r="CQ23" i="6"/>
  <c r="CQ24" i="6"/>
  <c r="CQ25" i="6"/>
  <c r="CQ26" i="6"/>
  <c r="FY1" i="6"/>
  <c r="GB1" i="6"/>
  <c r="AJ14" i="1"/>
  <c r="C20" i="2"/>
  <c r="E20" i="2" s="1"/>
  <c r="B7" i="6"/>
  <c r="B8" i="6" s="1"/>
  <c r="B9" i="6" s="1"/>
  <c r="B10" i="6" s="1"/>
  <c r="B11" i="6" s="1"/>
  <c r="B23" i="6"/>
  <c r="B24" i="6"/>
  <c r="B25" i="6"/>
  <c r="B26" i="6"/>
  <c r="GE1" i="6"/>
  <c r="GH1" i="6"/>
  <c r="GK1" i="6"/>
  <c r="AU46" i="6"/>
  <c r="AU45" i="6"/>
  <c r="AU44" i="6"/>
  <c r="AU43" i="6"/>
  <c r="AU42" i="6"/>
  <c r="AU41" i="6"/>
  <c r="AU40" i="6"/>
  <c r="AU39" i="6"/>
  <c r="AU38" i="6"/>
  <c r="AU33" i="6"/>
  <c r="AU30" i="6"/>
  <c r="GN1" i="6"/>
  <c r="AU48" i="6"/>
  <c r="AU47" i="6"/>
  <c r="AU37" i="6"/>
  <c r="AU36" i="6"/>
  <c r="AU35" i="6"/>
  <c r="AU34" i="6"/>
  <c r="AU32" i="6"/>
  <c r="AU31" i="6"/>
  <c r="AU29" i="6"/>
  <c r="AU26" i="6"/>
  <c r="AU25" i="6"/>
  <c r="AU24" i="6"/>
  <c r="AU23" i="6"/>
  <c r="N14" i="1"/>
  <c r="CJ25" i="7" s="1"/>
  <c r="N12" i="1"/>
  <c r="C22" i="2"/>
  <c r="E22" i="2" s="1"/>
  <c r="C24" i="2"/>
  <c r="E24" i="2" s="1"/>
  <c r="C26" i="2"/>
  <c r="C28" i="2"/>
  <c r="C30" i="2"/>
  <c r="C32" i="2"/>
  <c r="E32" i="2" s="1"/>
  <c r="M30" i="2"/>
  <c r="M31" i="2" s="1"/>
  <c r="M32" i="2" s="1"/>
  <c r="M33" i="2" s="1"/>
  <c r="N30" i="2"/>
  <c r="N31" i="2"/>
  <c r="N32" i="2" s="1"/>
  <c r="N33" i="2" s="1"/>
  <c r="K30" i="2"/>
  <c r="K31" i="2" s="1"/>
  <c r="K32" i="2" s="1"/>
  <c r="K33" i="2" s="1"/>
  <c r="L30" i="2"/>
  <c r="L31" i="2" s="1"/>
  <c r="L32" i="2" s="1"/>
  <c r="L33" i="2" s="1"/>
  <c r="J30" i="2"/>
  <c r="J31" i="2" s="1"/>
  <c r="J32" i="2" s="1"/>
  <c r="J33" i="2" s="1"/>
  <c r="AI11" i="8"/>
  <c r="Y30" i="1" s="1"/>
  <c r="CJ24" i="7" l="1"/>
  <c r="DJ41" i="1"/>
  <c r="Q14" i="2"/>
  <c r="Q15" i="2" s="1"/>
  <c r="O4" i="7"/>
  <c r="AI4" i="7" s="1"/>
  <c r="CJ29" i="7"/>
  <c r="AM79" i="7" s="1"/>
  <c r="CJ23" i="7"/>
  <c r="AI27" i="8"/>
  <c r="Y38" i="1" s="1"/>
  <c r="AI25" i="8"/>
  <c r="Y36" i="1" s="1"/>
  <c r="CJ26" i="7"/>
  <c r="AM52" i="7"/>
  <c r="AM53" i="7"/>
  <c r="AM34" i="7"/>
  <c r="CJ28" i="7"/>
  <c r="AI30" i="8"/>
  <c r="Y41" i="1" s="1"/>
  <c r="O31" i="7"/>
  <c r="B35" i="7"/>
  <c r="B36" i="7" s="1"/>
  <c r="B37" i="7" s="1"/>
  <c r="B38" i="7" s="1"/>
  <c r="AU53" i="1"/>
  <c r="BJ53" i="1"/>
  <c r="AZ53" i="1"/>
  <c r="BE53" i="1"/>
  <c r="BJ46" i="1"/>
  <c r="Z46" i="1"/>
  <c r="AU46" i="1"/>
  <c r="AZ46" i="1"/>
  <c r="BE46" i="1"/>
  <c r="DY52" i="1"/>
  <c r="DZ52" i="1" s="1"/>
  <c r="DX52" i="1" s="1"/>
  <c r="AF52" i="1" s="1"/>
  <c r="AZ52" i="1"/>
  <c r="BE52" i="1"/>
  <c r="BJ52" i="1"/>
  <c r="AU52" i="1"/>
  <c r="DY51" i="1"/>
  <c r="DZ51" i="1" s="1"/>
  <c r="DX51" i="1" s="1"/>
  <c r="AP51" i="1" s="1"/>
  <c r="AZ51" i="1"/>
  <c r="BJ51" i="1"/>
  <c r="AU51" i="1"/>
  <c r="BE51" i="1"/>
  <c r="DY50" i="1"/>
  <c r="DZ50" i="1" s="1"/>
  <c r="DX50" i="1" s="1"/>
  <c r="AF50" i="1" s="1"/>
  <c r="BJ50" i="1"/>
  <c r="BE50" i="1"/>
  <c r="AZ50" i="1"/>
  <c r="AU50" i="1"/>
  <c r="AU49" i="1"/>
  <c r="AZ49" i="1"/>
  <c r="BE49" i="1"/>
  <c r="BJ49" i="1"/>
  <c r="AZ48" i="1"/>
  <c r="BE48" i="1"/>
  <c r="BJ48" i="1"/>
  <c r="AU48" i="1"/>
  <c r="AU47" i="1"/>
  <c r="BE47" i="1"/>
  <c r="AZ47" i="1"/>
  <c r="BJ47" i="1"/>
  <c r="CC15" i="8"/>
  <c r="BB42" i="1" s="1"/>
  <c r="CX12" i="6"/>
  <c r="C37" i="6" s="1"/>
  <c r="B12" i="6"/>
  <c r="B13" i="6" s="1"/>
  <c r="B7" i="8"/>
  <c r="CX9" i="6"/>
  <c r="C34" i="6" s="1"/>
  <c r="E17" i="2"/>
  <c r="Q77" i="1" s="1"/>
  <c r="S4" i="8"/>
  <c r="BD6" i="8"/>
  <c r="CQ26" i="8"/>
  <c r="AT9" i="8"/>
  <c r="AT32" i="8" s="1"/>
  <c r="AI18" i="8"/>
  <c r="BB29" i="1" s="1"/>
  <c r="CC29" i="8"/>
  <c r="CE40" i="1" s="1"/>
  <c r="CR17" i="8"/>
  <c r="CX23" i="6"/>
  <c r="C48" i="6" s="1"/>
  <c r="CX4" i="6"/>
  <c r="C29" i="6" s="1"/>
  <c r="CX16" i="6"/>
  <c r="C41" i="6" s="1"/>
  <c r="CC10" i="8"/>
  <c r="BB37" i="1" s="1"/>
  <c r="CC14" i="8"/>
  <c r="BB41" i="1" s="1"/>
  <c r="CC26" i="8"/>
  <c r="CE37" i="1" s="1"/>
  <c r="CC17" i="8"/>
  <c r="CE28" i="1" s="1"/>
  <c r="CC23" i="8"/>
  <c r="CE34" i="1" s="1"/>
  <c r="AI26" i="8"/>
  <c r="Y37" i="1" s="1"/>
  <c r="CC19" i="8"/>
  <c r="CE30" i="1" s="1"/>
  <c r="CC18" i="8"/>
  <c r="CE29" i="1" s="1"/>
  <c r="AI12" i="8"/>
  <c r="Y31" i="1" s="1"/>
  <c r="AI17" i="8"/>
  <c r="BB28" i="1" s="1"/>
  <c r="AI10" i="8"/>
  <c r="Y29" i="1" s="1"/>
  <c r="AI29" i="8"/>
  <c r="Y40" i="1" s="1"/>
  <c r="AI14" i="8"/>
  <c r="Y33" i="1" s="1"/>
  <c r="AI21" i="8"/>
  <c r="BB32" i="1" s="1"/>
  <c r="AI20" i="8"/>
  <c r="BB31" i="1" s="1"/>
  <c r="CC13" i="8"/>
  <c r="BB40" i="1" s="1"/>
  <c r="CC30" i="8"/>
  <c r="CE41" i="1" s="1"/>
  <c r="CC25" i="8"/>
  <c r="CE36" i="1" s="1"/>
  <c r="CC28" i="8"/>
  <c r="CE39" i="1" s="1"/>
  <c r="CC27" i="8"/>
  <c r="AI31" i="8"/>
  <c r="Y42" i="1" s="1"/>
  <c r="AI15" i="8"/>
  <c r="Y34" i="1" s="1"/>
  <c r="AI13" i="8"/>
  <c r="AI23" i="8"/>
  <c r="BB34" i="1" s="1"/>
  <c r="AI22" i="8"/>
  <c r="BB33" i="1" s="1"/>
  <c r="CX8" i="6"/>
  <c r="C33" i="6" s="1"/>
  <c r="E30" i="2"/>
  <c r="CX18" i="6"/>
  <c r="C43" i="6" s="1"/>
  <c r="E28" i="2"/>
  <c r="CX14" i="6"/>
  <c r="C39" i="6" s="1"/>
  <c r="CX20" i="6"/>
  <c r="C45" i="6" s="1"/>
  <c r="Z51" i="1"/>
  <c r="Q75" i="1"/>
  <c r="W4" i="6" s="1"/>
  <c r="E26" i="2"/>
  <c r="CX6" i="6"/>
  <c r="C31" i="6" s="1"/>
  <c r="CU1" i="6"/>
  <c r="DW122" i="1"/>
  <c r="DW135" i="1" s="1"/>
  <c r="Z52" i="1"/>
  <c r="CC22" i="8"/>
  <c r="CE33" i="1" s="1"/>
  <c r="CC12" i="8"/>
  <c r="BB39" i="1" s="1"/>
  <c r="AI28" i="8"/>
  <c r="Y39" i="1" s="1"/>
  <c r="AI19" i="8"/>
  <c r="BB30" i="1" s="1"/>
  <c r="CC21" i="8"/>
  <c r="CE32" i="1" s="1"/>
  <c r="CE42" i="1"/>
  <c r="CC20" i="8"/>
  <c r="CE31" i="1" s="1"/>
  <c r="CC9" i="8"/>
  <c r="BB36" i="1" s="1"/>
  <c r="BB38" i="1"/>
  <c r="AI9" i="8"/>
  <c r="Y28" i="1" s="1"/>
  <c r="DY61" i="1"/>
  <c r="AF55" i="1" s="1"/>
  <c r="DW61" i="1"/>
  <c r="CC56" i="1" s="1"/>
  <c r="DY63" i="1"/>
  <c r="AF57" i="1" s="1"/>
  <c r="DY62" i="1"/>
  <c r="AF56" i="1" s="1"/>
  <c r="Z50" i="1"/>
  <c r="W19" i="1"/>
  <c r="W23" i="1"/>
  <c r="DY46" i="1"/>
  <c r="DZ46" i="1" s="1"/>
  <c r="DX46" i="1" s="1"/>
  <c r="AP46" i="1" s="1"/>
  <c r="Z47" i="1"/>
  <c r="DY47" i="1"/>
  <c r="DZ47" i="1" s="1"/>
  <c r="DX47" i="1" s="1"/>
  <c r="AE47" i="1" s="1"/>
  <c r="DY49" i="1"/>
  <c r="DZ49" i="1" s="1"/>
  <c r="DX49" i="1" s="1"/>
  <c r="AF49" i="1" s="1"/>
  <c r="Z48" i="1"/>
  <c r="DY48" i="1"/>
  <c r="DZ48" i="1" s="1"/>
  <c r="Z49" i="1"/>
  <c r="BM4" i="6"/>
  <c r="CX15" i="6"/>
  <c r="C40" i="6" s="1"/>
  <c r="CX17" i="6"/>
  <c r="C42" i="6" s="1"/>
  <c r="CX11" i="6"/>
  <c r="C36" i="6" s="1"/>
  <c r="CY1" i="6"/>
  <c r="CY16" i="6" s="1"/>
  <c r="AP41" i="6" s="1"/>
  <c r="CQ41" i="6" s="1"/>
  <c r="CX5" i="6"/>
  <c r="C30" i="6" s="1"/>
  <c r="CX22" i="6"/>
  <c r="C47" i="6" s="1"/>
  <c r="CX10" i="6"/>
  <c r="C35" i="6" s="1"/>
  <c r="CX21" i="6"/>
  <c r="C46" i="6" s="1"/>
  <c r="W21" i="1"/>
  <c r="CX19" i="6"/>
  <c r="C44" i="6" s="1"/>
  <c r="CX7" i="6"/>
  <c r="C32" i="6" s="1"/>
  <c r="CX13" i="6"/>
  <c r="C38" i="6" s="1"/>
  <c r="AM72" i="7" l="1"/>
  <c r="AM71" i="7"/>
  <c r="AM39" i="7"/>
  <c r="AM75" i="7"/>
  <c r="AM70" i="7"/>
  <c r="AM77" i="7"/>
  <c r="AM73" i="7"/>
  <c r="AM78" i="7"/>
  <c r="AM80" i="7"/>
  <c r="AH31" i="7"/>
  <c r="AM54" i="7"/>
  <c r="AM74" i="7"/>
  <c r="AM35" i="7"/>
  <c r="AM43" i="7"/>
  <c r="AM37" i="7"/>
  <c r="AM40" i="7"/>
  <c r="AM50" i="7"/>
  <c r="AM36" i="7"/>
  <c r="AM45" i="7"/>
  <c r="AM38" i="7"/>
  <c r="AM51" i="7"/>
  <c r="B39" i="7"/>
  <c r="AK50" i="1"/>
  <c r="AP47" i="1"/>
  <c r="AF47" i="1"/>
  <c r="AK46" i="1"/>
  <c r="AF51" i="1"/>
  <c r="AK52" i="1"/>
  <c r="AK51" i="1"/>
  <c r="AK49" i="1"/>
  <c r="AP50" i="1"/>
  <c r="AP52" i="1"/>
  <c r="AK47" i="1"/>
  <c r="AF46" i="1"/>
  <c r="AP49" i="1"/>
  <c r="AE52" i="1"/>
  <c r="AE51" i="1"/>
  <c r="BQ56" i="1"/>
  <c r="BQ46" i="1"/>
  <c r="CQ28" i="8"/>
  <c r="CU5" i="6"/>
  <c r="C8" i="6" s="1"/>
  <c r="AU8" i="6" s="1"/>
  <c r="CU4" i="6"/>
  <c r="C7" i="6" s="1"/>
  <c r="B14" i="6"/>
  <c r="AL4" i="8"/>
  <c r="CU15" i="6"/>
  <c r="C18" i="6" s="1"/>
  <c r="AU18" i="6" s="1"/>
  <c r="CE38" i="1"/>
  <c r="Y32" i="1"/>
  <c r="CU8" i="6"/>
  <c r="C11" i="6" s="1"/>
  <c r="AU11" i="6" s="1"/>
  <c r="DW129" i="1"/>
  <c r="DW131" i="1"/>
  <c r="DW125" i="1"/>
  <c r="DW136" i="1"/>
  <c r="CY13" i="6"/>
  <c r="AP38" i="6" s="1"/>
  <c r="CQ38" i="6" s="1"/>
  <c r="CU21" i="6"/>
  <c r="C24" i="6" s="1"/>
  <c r="CU18" i="6"/>
  <c r="C21" i="6" s="1"/>
  <c r="AU21" i="6" s="1"/>
  <c r="DW133" i="1"/>
  <c r="DW124" i="1"/>
  <c r="DW123" i="1"/>
  <c r="DW134" i="1"/>
  <c r="DW132" i="1"/>
  <c r="DW128" i="1"/>
  <c r="DW130" i="1"/>
  <c r="DW127" i="1"/>
  <c r="E34" i="2"/>
  <c r="AD77" i="1" s="1"/>
  <c r="DX48" i="1"/>
  <c r="CU10" i="6"/>
  <c r="C13" i="6" s="1"/>
  <c r="AU13" i="6" s="1"/>
  <c r="CU7" i="6"/>
  <c r="C10" i="6" s="1"/>
  <c r="AU10" i="6" s="1"/>
  <c r="CV1" i="6"/>
  <c r="CV22" i="6" s="1"/>
  <c r="AP25" i="6" s="1"/>
  <c r="CU6" i="6"/>
  <c r="C9" i="6" s="1"/>
  <c r="AU9" i="6" s="1"/>
  <c r="CU16" i="6"/>
  <c r="C19" i="6" s="1"/>
  <c r="AU19" i="6" s="1"/>
  <c r="CU9" i="6"/>
  <c r="C12" i="6" s="1"/>
  <c r="AU12" i="6" s="1"/>
  <c r="CU19" i="6"/>
  <c r="C22" i="6" s="1"/>
  <c r="AU22" i="6" s="1"/>
  <c r="CU12" i="6"/>
  <c r="C15" i="6" s="1"/>
  <c r="AU15" i="6" s="1"/>
  <c r="CU11" i="6"/>
  <c r="C14" i="6" s="1"/>
  <c r="AU14" i="6" s="1"/>
  <c r="CU22" i="6"/>
  <c r="C25" i="6" s="1"/>
  <c r="CU14" i="6"/>
  <c r="C17" i="6" s="1"/>
  <c r="AU17" i="6" s="1"/>
  <c r="CU23" i="6"/>
  <c r="C26" i="6" s="1"/>
  <c r="CU20" i="6"/>
  <c r="C23" i="6" s="1"/>
  <c r="CU17" i="6"/>
  <c r="C20" i="6" s="1"/>
  <c r="AU20" i="6" s="1"/>
  <c r="CU13" i="6"/>
  <c r="CY18" i="6"/>
  <c r="AP43" i="6" s="1"/>
  <c r="CQ43" i="6" s="1"/>
  <c r="CY10" i="6"/>
  <c r="AP35" i="6" s="1"/>
  <c r="CQ35" i="6" s="1"/>
  <c r="CY21" i="6"/>
  <c r="AP46" i="6" s="1"/>
  <c r="CQ46" i="6" s="1"/>
  <c r="DW126" i="1"/>
  <c r="DW137" i="1"/>
  <c r="AE50" i="1"/>
  <c r="AE49" i="1"/>
  <c r="T14" i="2"/>
  <c r="S14" i="2" s="1"/>
  <c r="CY15" i="6"/>
  <c r="AP40" i="6" s="1"/>
  <c r="CQ40" i="6" s="1"/>
  <c r="CY23" i="6"/>
  <c r="AP48" i="6" s="1"/>
  <c r="CQ48" i="6" s="1"/>
  <c r="CY7" i="6"/>
  <c r="AP32" i="6" s="1"/>
  <c r="CQ32" i="6" s="1"/>
  <c r="CY22" i="6"/>
  <c r="AP47" i="6" s="1"/>
  <c r="CQ47" i="6" s="1"/>
  <c r="CY6" i="6"/>
  <c r="AP31" i="6" s="1"/>
  <c r="CQ31" i="6" s="1"/>
  <c r="CY9" i="6"/>
  <c r="AP34" i="6" s="1"/>
  <c r="CQ34" i="6" s="1"/>
  <c r="CY19" i="6"/>
  <c r="AP44" i="6" s="1"/>
  <c r="CQ44" i="6" s="1"/>
  <c r="CY11" i="6"/>
  <c r="AP36" i="6" s="1"/>
  <c r="CQ36" i="6" s="1"/>
  <c r="CY5" i="6"/>
  <c r="AP30" i="6" s="1"/>
  <c r="CQ30" i="6" s="1"/>
  <c r="CY14" i="6"/>
  <c r="AP39" i="6" s="1"/>
  <c r="CQ39" i="6" s="1"/>
  <c r="CY4" i="6"/>
  <c r="AP29" i="6" s="1"/>
  <c r="CQ29" i="6" s="1"/>
  <c r="CY8" i="6"/>
  <c r="AP33" i="6" s="1"/>
  <c r="CQ33" i="6" s="1"/>
  <c r="CY12" i="6"/>
  <c r="AP37" i="6" s="1"/>
  <c r="CQ37" i="6" s="1"/>
  <c r="CY20" i="6"/>
  <c r="AP45" i="6" s="1"/>
  <c r="CQ45" i="6" s="1"/>
  <c r="CY17" i="6"/>
  <c r="AP42" i="6" s="1"/>
  <c r="CQ42" i="6" s="1"/>
  <c r="CR48" i="7" l="1"/>
  <c r="CR50" i="7"/>
  <c r="CR47" i="7"/>
  <c r="CR51" i="7"/>
  <c r="CR49" i="7"/>
  <c r="B40" i="7"/>
  <c r="AE48" i="1"/>
  <c r="AP48" i="1"/>
  <c r="AF48" i="1"/>
  <c r="AK48" i="1"/>
  <c r="C16" i="6"/>
  <c r="AU16" i="6" s="1"/>
  <c r="CV15" i="6"/>
  <c r="AP18" i="6" s="1"/>
  <c r="CQ18" i="6" s="1"/>
  <c r="CV16" i="6"/>
  <c r="AP19" i="6" s="1"/>
  <c r="CQ19" i="6" s="1"/>
  <c r="B15" i="6"/>
  <c r="CV17" i="6"/>
  <c r="AP20" i="6" s="1"/>
  <c r="CQ20" i="6" s="1"/>
  <c r="CV8" i="6"/>
  <c r="AP11" i="6" s="1"/>
  <c r="CQ11" i="6" s="1"/>
  <c r="CV14" i="6"/>
  <c r="AP17" i="6" s="1"/>
  <c r="CQ17" i="6" s="1"/>
  <c r="CV7" i="6"/>
  <c r="AP10" i="6" s="1"/>
  <c r="CQ10" i="6" s="1"/>
  <c r="CV9" i="6"/>
  <c r="AP12" i="6" s="1"/>
  <c r="CQ12" i="6" s="1"/>
  <c r="CV18" i="6"/>
  <c r="AP21" i="6" s="1"/>
  <c r="CQ21" i="6" s="1"/>
  <c r="CV20" i="6"/>
  <c r="AP23" i="6" s="1"/>
  <c r="CV12" i="6"/>
  <c r="AP15" i="6" s="1"/>
  <c r="CQ15" i="6" s="1"/>
  <c r="CV11" i="6"/>
  <c r="AP14" i="6" s="1"/>
  <c r="CQ14" i="6" s="1"/>
  <c r="CV23" i="6"/>
  <c r="AP26" i="6" s="1"/>
  <c r="CV13" i="6"/>
  <c r="AP16" i="6" s="1"/>
  <c r="CQ16" i="6" s="1"/>
  <c r="CV10" i="6"/>
  <c r="AP13" i="6" s="1"/>
  <c r="CQ13" i="6" s="1"/>
  <c r="CV4" i="6"/>
  <c r="AP7" i="6" s="1"/>
  <c r="CQ7" i="6" s="1"/>
  <c r="CV21" i="6"/>
  <c r="AP24" i="6" s="1"/>
  <c r="AU7" i="6"/>
  <c r="CV5" i="6"/>
  <c r="AP8" i="6" s="1"/>
  <c r="CQ8" i="6" s="1"/>
  <c r="CV6" i="6"/>
  <c r="AP9" i="6" s="1"/>
  <c r="CQ9" i="6" s="1"/>
  <c r="CV19" i="6"/>
  <c r="AP22" i="6" s="1"/>
  <c r="CQ22" i="6" s="1"/>
  <c r="Q16" i="2"/>
  <c r="T15" i="2"/>
  <c r="S15" i="2" s="1"/>
  <c r="B41" i="7" l="1"/>
  <c r="B16" i="6"/>
  <c r="AU4" i="6"/>
  <c r="AD75" i="1" s="1"/>
  <c r="CQ5" i="6"/>
  <c r="Q17" i="2"/>
  <c r="T16" i="2"/>
  <c r="S16" i="2" s="1"/>
  <c r="B42" i="7" l="1"/>
  <c r="B17" i="6"/>
  <c r="T17" i="2"/>
  <c r="S17" i="2" s="1"/>
  <c r="Q18" i="2"/>
  <c r="B43" i="7" l="1"/>
  <c r="B18" i="6"/>
  <c r="Q19" i="2"/>
  <c r="T18" i="2"/>
  <c r="S18" i="2" s="1"/>
  <c r="B44" i="7" l="1"/>
  <c r="B19" i="6"/>
  <c r="Q20" i="2"/>
  <c r="T19" i="2"/>
  <c r="S19" i="2" s="1"/>
  <c r="B45" i="7" l="1"/>
  <c r="B20" i="6"/>
  <c r="T20" i="2"/>
  <c r="S20" i="2" s="1"/>
  <c r="Q21" i="2"/>
  <c r="B48" i="7" l="1"/>
  <c r="B21" i="6"/>
  <c r="T21" i="2"/>
  <c r="S21" i="2" s="1"/>
  <c r="Q22" i="2"/>
  <c r="B49" i="7" l="1"/>
  <c r="B22" i="6"/>
  <c r="T22" i="2"/>
  <c r="S22" i="2" s="1"/>
  <c r="Q23" i="2"/>
  <c r="B50" i="7" l="1"/>
  <c r="B29" i="6"/>
  <c r="Q24" i="2"/>
  <c r="T23" i="2"/>
  <c r="S23" i="2" s="1"/>
  <c r="B51" i="7" l="1"/>
  <c r="B30" i="6"/>
  <c r="T24" i="2"/>
  <c r="S24" i="2" s="1"/>
  <c r="Q25" i="2"/>
  <c r="B52" i="7" l="1"/>
  <c r="B31" i="6"/>
  <c r="Q26" i="2"/>
  <c r="T25" i="2"/>
  <c r="S25" i="2" s="1"/>
  <c r="B53" i="7" l="1"/>
  <c r="B32" i="6"/>
  <c r="Q27" i="2"/>
  <c r="T26" i="2"/>
  <c r="S26" i="2" s="1"/>
  <c r="B54" i="7" l="1"/>
  <c r="B33" i="6"/>
  <c r="T27" i="2"/>
  <c r="S27" i="2" s="1"/>
  <c r="Q28" i="2"/>
  <c r="B55" i="7" l="1"/>
  <c r="B34" i="6"/>
  <c r="B35" i="6" s="1"/>
  <c r="T28" i="2"/>
  <c r="S28" i="2" s="1"/>
  <c r="Q29" i="2"/>
  <c r="B56" i="7" l="1"/>
  <c r="B36" i="6"/>
  <c r="Q30" i="2"/>
  <c r="T29" i="2"/>
  <c r="S29" i="2" s="1"/>
  <c r="B57" i="7" l="1"/>
  <c r="B37" i="6"/>
  <c r="T30" i="2"/>
  <c r="S30" i="2" s="1"/>
  <c r="Q31" i="2"/>
  <c r="B58" i="7" l="1"/>
  <c r="B38" i="6"/>
  <c r="Q32" i="2"/>
  <c r="T31" i="2"/>
  <c r="S31" i="2" s="1"/>
  <c r="B59" i="7" l="1"/>
  <c r="B39" i="6"/>
  <c r="T32" i="2"/>
  <c r="S32" i="2" s="1"/>
  <c r="Q33" i="2"/>
  <c r="B60" i="7" l="1"/>
  <c r="B61" i="7" s="1"/>
  <c r="B62" i="7" s="1"/>
  <c r="B63" i="7" s="1"/>
  <c r="B64" i="7" s="1"/>
  <c r="B65" i="7" s="1"/>
  <c r="B66" i="7" s="1"/>
  <c r="B67" i="7" s="1"/>
  <c r="B70" i="7" s="1"/>
  <c r="B40" i="6"/>
  <c r="B41" i="6" s="1"/>
  <c r="T33" i="2"/>
  <c r="S33" i="2" s="1"/>
  <c r="Q34" i="2"/>
  <c r="B71" i="7" l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42" i="6"/>
  <c r="T34" i="2"/>
  <c r="S34" i="2" s="1"/>
  <c r="Q35" i="2"/>
  <c r="CO16" i="7" l="1"/>
  <c r="CO46" i="1" s="1"/>
  <c r="CO20" i="7"/>
  <c r="CO50" i="1" s="1"/>
  <c r="CO30" i="7"/>
  <c r="CP28" i="7"/>
  <c r="CP23" i="7"/>
  <c r="DJ53" i="1" s="1"/>
  <c r="CO25" i="7"/>
  <c r="CO55" i="1" s="1"/>
  <c r="CP18" i="7"/>
  <c r="DJ48" i="1" s="1"/>
  <c r="CP24" i="7"/>
  <c r="DJ54" i="1" s="1"/>
  <c r="CP27" i="7"/>
  <c r="DJ57" i="1" s="1"/>
  <c r="CO27" i="7"/>
  <c r="CO57" i="1" s="1"/>
  <c r="CO19" i="7"/>
  <c r="CO49" i="1" s="1"/>
  <c r="CP26" i="7"/>
  <c r="DJ56" i="1" s="1"/>
  <c r="CP19" i="7"/>
  <c r="DJ49" i="1" s="1"/>
  <c r="CO29" i="7"/>
  <c r="CO21" i="7"/>
  <c r="CO51" i="1" s="1"/>
  <c r="CO18" i="7"/>
  <c r="CO48" i="1" s="1"/>
  <c r="CP20" i="7"/>
  <c r="DJ50" i="1" s="1"/>
  <c r="CO22" i="7"/>
  <c r="CO52" i="1" s="1"/>
  <c r="CO28" i="7"/>
  <c r="CP17" i="7"/>
  <c r="DJ47" i="1" s="1"/>
  <c r="CP29" i="7"/>
  <c r="CO23" i="7"/>
  <c r="CO53" i="1" s="1"/>
  <c r="CP22" i="7"/>
  <c r="DJ52" i="1" s="1"/>
  <c r="CP30" i="7"/>
  <c r="CP25" i="7"/>
  <c r="DJ55" i="1" s="1"/>
  <c r="CO26" i="7"/>
  <c r="CO56" i="1" s="1"/>
  <c r="CP21" i="7"/>
  <c r="DJ51" i="1" s="1"/>
  <c r="CO17" i="7"/>
  <c r="CP16" i="7"/>
  <c r="DJ46" i="1" s="1"/>
  <c r="CO24" i="7"/>
  <c r="CO54" i="1" s="1"/>
  <c r="B43" i="6"/>
  <c r="T35" i="2"/>
  <c r="S35" i="2" s="1"/>
  <c r="Q36" i="2"/>
  <c r="CO47" i="1" l="1"/>
  <c r="B44" i="6"/>
  <c r="B45" i="6"/>
  <c r="B46" i="6" s="1"/>
  <c r="B47" i="6" s="1"/>
  <c r="B48" i="6" s="1"/>
  <c r="Q37" i="2"/>
  <c r="T36" i="2"/>
  <c r="S36" i="2" s="1"/>
  <c r="BC30" i="6" l="1"/>
  <c r="CO33" i="1" s="1"/>
  <c r="BC23" i="6"/>
  <c r="CO26" i="1" s="1"/>
  <c r="BC25" i="6"/>
  <c r="CO28" i="1" s="1"/>
  <c r="CI36" i="6"/>
  <c r="DH39" i="1" s="1"/>
  <c r="DJ39" i="1" s="1"/>
  <c r="CI29" i="6"/>
  <c r="DH32" i="1" s="1"/>
  <c r="DJ32" i="1" s="1"/>
  <c r="CI8" i="6"/>
  <c r="DH11" i="1" s="1"/>
  <c r="DJ11" i="1" s="1"/>
  <c r="CI24" i="6"/>
  <c r="DH27" i="1" s="1"/>
  <c r="DJ27" i="1" s="1"/>
  <c r="BC26" i="6"/>
  <c r="CO29" i="1" s="1"/>
  <c r="BC29" i="6"/>
  <c r="CO32" i="1" s="1"/>
  <c r="CI34" i="6"/>
  <c r="DH37" i="1" s="1"/>
  <c r="DJ37" i="1" s="1"/>
  <c r="CI28" i="6"/>
  <c r="DH31" i="1" s="1"/>
  <c r="DJ31" i="1" s="1"/>
  <c r="BC32" i="6"/>
  <c r="CO35" i="1" s="1"/>
  <c r="BC33" i="6"/>
  <c r="CO36" i="1" s="1"/>
  <c r="CI31" i="6"/>
  <c r="DH34" i="1" s="1"/>
  <c r="DJ34" i="1" s="1"/>
  <c r="CI7" i="6"/>
  <c r="DH10" i="1" s="1"/>
  <c r="DJ10" i="1" s="1"/>
  <c r="BC9" i="6"/>
  <c r="CO12" i="1" s="1"/>
  <c r="CI10" i="6"/>
  <c r="DH13" i="1" s="1"/>
  <c r="DJ13" i="1" s="1"/>
  <c r="BC7" i="6"/>
  <c r="CO10" i="1" s="1"/>
  <c r="CI9" i="6"/>
  <c r="DH12" i="1" s="1"/>
  <c r="DJ12" i="1" s="1"/>
  <c r="BC12" i="6"/>
  <c r="CO15" i="1" s="1"/>
  <c r="CI12" i="6"/>
  <c r="DH15" i="1" s="1"/>
  <c r="DJ15" i="1" s="1"/>
  <c r="CI11" i="6"/>
  <c r="DH14" i="1" s="1"/>
  <c r="DJ14" i="1" s="1"/>
  <c r="BC16" i="6"/>
  <c r="CO19" i="1" s="1"/>
  <c r="BC8" i="6"/>
  <c r="CO11" i="1" s="1"/>
  <c r="CI16" i="6"/>
  <c r="DH19" i="1" s="1"/>
  <c r="DJ19" i="1" s="1"/>
  <c r="BC11" i="6"/>
  <c r="CO14" i="1" s="1"/>
  <c r="CI17" i="6"/>
  <c r="DH20" i="1" s="1"/>
  <c r="DJ20" i="1" s="1"/>
  <c r="CI15" i="6"/>
  <c r="DH18" i="1" s="1"/>
  <c r="DJ18" i="1" s="1"/>
  <c r="CI13" i="6"/>
  <c r="DH16" i="1" s="1"/>
  <c r="DJ16" i="1" s="1"/>
  <c r="BC13" i="6"/>
  <c r="CO16" i="1" s="1"/>
  <c r="BC14" i="6"/>
  <c r="CO17" i="1" s="1"/>
  <c r="BC10" i="6"/>
  <c r="CO13" i="1" s="1"/>
  <c r="CI18" i="6"/>
  <c r="DH21" i="1" s="1"/>
  <c r="DJ21" i="1" s="1"/>
  <c r="CI14" i="6"/>
  <c r="DH17" i="1" s="1"/>
  <c r="DJ17" i="1" s="1"/>
  <c r="BC15" i="6"/>
  <c r="CO18" i="1" s="1"/>
  <c r="BC17" i="6"/>
  <c r="CO20" i="1" s="1"/>
  <c r="BC20" i="6"/>
  <c r="CO23" i="1" s="1"/>
  <c r="BC18" i="6"/>
  <c r="CO21" i="1" s="1"/>
  <c r="CI20" i="6"/>
  <c r="DH23" i="1" s="1"/>
  <c r="DJ23" i="1" s="1"/>
  <c r="CI21" i="6"/>
  <c r="DH24" i="1" s="1"/>
  <c r="DJ24" i="1" s="1"/>
  <c r="BC19" i="6"/>
  <c r="CO22" i="1" s="1"/>
  <c r="CI19" i="6"/>
  <c r="DH22" i="1" s="1"/>
  <c r="DJ22" i="1" s="1"/>
  <c r="BC21" i="6"/>
  <c r="CO24" i="1" s="1"/>
  <c r="CI22" i="6"/>
  <c r="DH25" i="1" s="1"/>
  <c r="DJ25" i="1" s="1"/>
  <c r="BC24" i="6"/>
  <c r="CO27" i="1" s="1"/>
  <c r="BC22" i="6"/>
  <c r="CO25" i="1" s="1"/>
  <c r="CI25" i="6"/>
  <c r="DH28" i="1" s="1"/>
  <c r="DJ28" i="1" s="1"/>
  <c r="CI26" i="6"/>
  <c r="DH29" i="1" s="1"/>
  <c r="DJ29" i="1" s="1"/>
  <c r="CI27" i="6"/>
  <c r="DH30" i="1" s="1"/>
  <c r="DJ30" i="1" s="1"/>
  <c r="CI30" i="6"/>
  <c r="DH33" i="1" s="1"/>
  <c r="DJ33" i="1" s="1"/>
  <c r="BC36" i="6"/>
  <c r="CO39" i="1" s="1"/>
  <c r="BC35" i="6"/>
  <c r="CO38" i="1" s="1"/>
  <c r="CI35" i="6"/>
  <c r="DH38" i="1" s="1"/>
  <c r="DJ38" i="1" s="1"/>
  <c r="BC34" i="6"/>
  <c r="CO37" i="1" s="1"/>
  <c r="BC31" i="6"/>
  <c r="CO34" i="1" s="1"/>
  <c r="CI33" i="6"/>
  <c r="DH36" i="1" s="1"/>
  <c r="DJ36" i="1" s="1"/>
  <c r="CI32" i="6"/>
  <c r="DH35" i="1" s="1"/>
  <c r="DJ35" i="1" s="1"/>
  <c r="CI23" i="6"/>
  <c r="DH26" i="1" s="1"/>
  <c r="DJ26" i="1" s="1"/>
  <c r="BC28" i="6"/>
  <c r="CO31" i="1" s="1"/>
  <c r="BC27" i="6"/>
  <c r="CO30" i="1" s="1"/>
  <c r="Q38" i="2"/>
  <c r="T37" i="2"/>
  <c r="S37" i="2" s="1"/>
  <c r="Q39" i="2" l="1"/>
  <c r="T38" i="2"/>
  <c r="S38" i="2" s="1"/>
  <c r="T39" i="2" l="1"/>
  <c r="S39" i="2" s="1"/>
  <c r="Q40" i="2"/>
  <c r="Q41" i="2" l="1"/>
  <c r="T40" i="2"/>
  <c r="S40" i="2" s="1"/>
  <c r="T41" i="2" l="1"/>
  <c r="S41" i="2" s="1"/>
  <c r="Q42" i="2"/>
  <c r="T42" i="2" s="1"/>
  <c r="S42" i="2" s="1"/>
  <c r="S43" i="2" l="1"/>
  <c r="CC46" i="1" s="1"/>
</calcChain>
</file>

<file path=xl/comments1.xml><?xml version="1.0" encoding="utf-8"?>
<comments xmlns="http://schemas.openxmlformats.org/spreadsheetml/2006/main">
  <authors>
    <author>Marcelo.rodrigues</author>
    <author>marcelo.rodrigues</author>
  </authors>
  <commentList>
    <comment ref="C11" authorId="0">
      <text>
        <r>
          <rPr>
            <b/>
            <sz val="8"/>
            <color indexed="81"/>
            <rFont val="Tahoma"/>
            <family val="2"/>
          </rPr>
          <t>Escolha a Raça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>Escolha a Profissão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color indexed="81"/>
            <rFont val="Tahoma"/>
            <family val="2"/>
          </rPr>
          <t>Escolha a especialização (quando você a obter!)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3" authorId="1">
      <text>
        <r>
          <rPr>
            <b/>
            <sz val="8"/>
            <color indexed="81"/>
            <rFont val="Tahoma"/>
            <family val="2"/>
          </rPr>
          <t>Ao passar de estágio digite nesta coluna o valor sorteado no dado  (não incluir o bonus de Físico). 
Mas lembre-se… somente na passagem de estágio. No Estágio 1, não deve-se preencher!</t>
        </r>
      </text>
    </comment>
  </commentList>
</comments>
</file>

<file path=xl/comments2.xml><?xml version="1.0" encoding="utf-8"?>
<comments xmlns="http://schemas.openxmlformats.org/spreadsheetml/2006/main">
  <authors>
    <author>ACQUARIUS</author>
  </authors>
  <commentList>
    <comment ref="BS9" authorId="0">
      <text>
        <r>
          <rPr>
            <b/>
            <sz val="9"/>
            <color indexed="81"/>
            <rFont val="Tahoma"/>
            <family val="2"/>
          </rPr>
          <t xml:space="preserve">Bardos não precisam comprar essa habilidade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9"/>
            <color indexed="81"/>
            <rFont val="Tahoma"/>
            <family val="2"/>
          </rPr>
          <t>Guerreiros não precisam comprar essa habilidade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S20" authorId="0">
      <text>
        <r>
          <rPr>
            <b/>
            <sz val="9"/>
            <color indexed="81"/>
            <rFont val="Tahoma"/>
            <family val="2"/>
          </rPr>
          <t>Guerreiros não precisam comprar essa habilidade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S21" authorId="0">
      <text>
        <r>
          <rPr>
            <b/>
            <sz val="9"/>
            <color indexed="81"/>
            <rFont val="Tahoma"/>
            <family val="2"/>
          </rPr>
          <t>Sacerdotes não precisam comprar essa habilidade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5" authorId="0">
      <text>
        <r>
          <rPr>
            <b/>
            <sz val="9"/>
            <color indexed="81"/>
            <rFont val="Tahoma"/>
            <family val="2"/>
          </rPr>
          <t>Ladinos não precisam comprar essa habilidade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S29" authorId="0">
      <text>
        <r>
          <rPr>
            <b/>
            <sz val="9"/>
            <color indexed="81"/>
            <rFont val="Tahoma"/>
            <family val="2"/>
          </rPr>
          <t>Guerreiros não precisam comprar essa habilidade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0" authorId="0">
      <text>
        <r>
          <rPr>
            <b/>
            <sz val="9"/>
            <color indexed="81"/>
            <rFont val="Tahoma"/>
            <family val="2"/>
          </rPr>
          <t>Guerreiros não precisam comprar essa habilidade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<sst xmlns="http://schemas.openxmlformats.org/spreadsheetml/2006/main" count="2121" uniqueCount="751">
  <si>
    <t>Ações Furtivas</t>
  </si>
  <si>
    <t>Furtar Objetos</t>
  </si>
  <si>
    <t>Trabalhos Manuais</t>
  </si>
  <si>
    <t>Carpintaria</t>
  </si>
  <si>
    <t>Persuasão</t>
  </si>
  <si>
    <t>Sedução</t>
  </si>
  <si>
    <t>Acrobacias</t>
  </si>
  <si>
    <t>Montar Animais</t>
  </si>
  <si>
    <t>Corrida</t>
  </si>
  <si>
    <t>Natação</t>
  </si>
  <si>
    <t>Navegação</t>
  </si>
  <si>
    <t>Seguir Trilhas</t>
  </si>
  <si>
    <t>Liderança</t>
  </si>
  <si>
    <t>Subterfúgio</t>
  </si>
  <si>
    <t>Profissional</t>
  </si>
  <si>
    <t>Manobra</t>
  </si>
  <si>
    <t>Geral</t>
  </si>
  <si>
    <t>Total</t>
  </si>
  <si>
    <t>Arma</t>
  </si>
  <si>
    <t>Nível</t>
  </si>
  <si>
    <t>Malabarismo</t>
  </si>
  <si>
    <t>Jogatina</t>
  </si>
  <si>
    <t>Combate</t>
  </si>
  <si>
    <t>Habilidades</t>
  </si>
  <si>
    <t>Defesa</t>
  </si>
  <si>
    <t>Influencia</t>
  </si>
  <si>
    <t>Escalar Superfícies</t>
  </si>
  <si>
    <t>Magia</t>
  </si>
  <si>
    <t>Karma</t>
  </si>
  <si>
    <t>Força</t>
  </si>
  <si>
    <t>Físico</t>
  </si>
  <si>
    <t>Agilidade</t>
  </si>
  <si>
    <t>Intelecto</t>
  </si>
  <si>
    <t>Percepção</t>
  </si>
  <si>
    <t>Aura</t>
  </si>
  <si>
    <t>Ajuste</t>
  </si>
  <si>
    <t>M.C.</t>
  </si>
  <si>
    <t>M.P.</t>
  </si>
  <si>
    <t>Raça</t>
  </si>
  <si>
    <t>Nome</t>
  </si>
  <si>
    <t>Profissão</t>
  </si>
  <si>
    <t>Estágio</t>
  </si>
  <si>
    <t>Venefício**</t>
  </si>
  <si>
    <t>CD</t>
  </si>
  <si>
    <t>EL</t>
  </si>
  <si>
    <t>CL</t>
  </si>
  <si>
    <t>CmM</t>
  </si>
  <si>
    <t>CmE</t>
  </si>
  <si>
    <t>PmL</t>
  </si>
  <si>
    <t>PmA</t>
  </si>
  <si>
    <t>Carisma</t>
  </si>
  <si>
    <t>Em</t>
  </si>
  <si>
    <t>CpE</t>
  </si>
  <si>
    <t>Ep</t>
  </si>
  <si>
    <t>Pp</t>
  </si>
  <si>
    <t>Velocidade</t>
  </si>
  <si>
    <t>Escapar</t>
  </si>
  <si>
    <t>Etiqueta</t>
  </si>
  <si>
    <t>Náutica**</t>
  </si>
  <si>
    <t>Misticismo**</t>
  </si>
  <si>
    <t>Religião**</t>
  </si>
  <si>
    <t>Conhecimento</t>
  </si>
  <si>
    <t>Lidar com Animais</t>
  </si>
  <si>
    <t>Sobrevivência</t>
  </si>
  <si>
    <t>Dinheiro</t>
  </si>
  <si>
    <t>M.O.</t>
  </si>
  <si>
    <t>CpM</t>
  </si>
  <si>
    <t>Técnicas de Combate</t>
  </si>
  <si>
    <t>Humanos</t>
  </si>
  <si>
    <t>Meio-Elfos</t>
  </si>
  <si>
    <t>Elfos Florestais</t>
  </si>
  <si>
    <t>Elfos Dourados</t>
  </si>
  <si>
    <t>Anões</t>
  </si>
  <si>
    <t>Pequeninos</t>
  </si>
  <si>
    <t>Atributo Inicial</t>
  </si>
  <si>
    <t>Pontos Gastos</t>
  </si>
  <si>
    <t>Atributo Final</t>
  </si>
  <si>
    <t>Pontos Restantes -&gt;</t>
  </si>
  <si>
    <t>X</t>
  </si>
  <si>
    <t>Equipamento de Defesa</t>
  </si>
  <si>
    <t>Tipo de Defesa</t>
  </si>
  <si>
    <t>Abreviatura</t>
  </si>
  <si>
    <t>Defesa Base</t>
  </si>
  <si>
    <t>Absorção</t>
  </si>
  <si>
    <t>Nada</t>
  </si>
  <si>
    <t>Leve</t>
  </si>
  <si>
    <t>L</t>
  </si>
  <si>
    <t>Couro leve</t>
  </si>
  <si>
    <t>Couro rígido</t>
  </si>
  <si>
    <t>Média</t>
  </si>
  <si>
    <t>M</t>
  </si>
  <si>
    <t>Cota de malha parcial</t>
  </si>
  <si>
    <t>Cota de malha completa</t>
  </si>
  <si>
    <t>Pesada</t>
  </si>
  <si>
    <t>P</t>
  </si>
  <si>
    <t>Couraça metálica parcial</t>
  </si>
  <si>
    <t>Escudo pequeno</t>
  </si>
  <si>
    <t>---</t>
  </si>
  <si>
    <t>Escudo grande</t>
  </si>
  <si>
    <t>Elmo Aberto</t>
  </si>
  <si>
    <t>Elmo fechado</t>
  </si>
  <si>
    <t>Profissões</t>
  </si>
  <si>
    <t>EH Básica</t>
  </si>
  <si>
    <t>Guerreiro</t>
  </si>
  <si>
    <t>Ladino</t>
  </si>
  <si>
    <t>Sacerdote</t>
  </si>
  <si>
    <t>Mago</t>
  </si>
  <si>
    <t>Rastreador</t>
  </si>
  <si>
    <t>Bardo</t>
  </si>
  <si>
    <t>Agi</t>
  </si>
  <si>
    <t>Per</t>
  </si>
  <si>
    <t>Arte...</t>
  </si>
  <si>
    <t>Car</t>
  </si>
  <si>
    <t>Grupo</t>
  </si>
  <si>
    <t>Custo</t>
  </si>
  <si>
    <t>Alcance</t>
  </si>
  <si>
    <t>A</t>
  </si>
  <si>
    <t>E</t>
  </si>
  <si>
    <t>H</t>
  </si>
  <si>
    <t>For</t>
  </si>
  <si>
    <t>Ambidestria*</t>
  </si>
  <si>
    <t>Aparar*</t>
  </si>
  <si>
    <t>Ataque Oportuno*</t>
  </si>
  <si>
    <t>Ataque de Surpresa*</t>
  </si>
  <si>
    <t>Atirar em Movimento*</t>
  </si>
  <si>
    <t>Carga*</t>
  </si>
  <si>
    <t>Combate Montado*</t>
  </si>
  <si>
    <t>Esquiva*</t>
  </si>
  <si>
    <t>Luta às Cegas*</t>
  </si>
  <si>
    <t>Resistência à Dor*</t>
  </si>
  <si>
    <t>Combate não Letal*</t>
  </si>
  <si>
    <t>Mag.</t>
  </si>
  <si>
    <t>Grupos Penalizados</t>
  </si>
  <si>
    <t>Influência</t>
  </si>
  <si>
    <t>Nenhuma</t>
  </si>
  <si>
    <t>Nenhum</t>
  </si>
  <si>
    <t>Religião</t>
  </si>
  <si>
    <t>Misticismo</t>
  </si>
  <si>
    <t>Arte e Etiqueta</t>
  </si>
  <si>
    <t>Especializa</t>
  </si>
  <si>
    <t>Sevides</t>
  </si>
  <si>
    <t>Quiris</t>
  </si>
  <si>
    <t>Liris</t>
  </si>
  <si>
    <t>Ganis</t>
  </si>
  <si>
    <t>Blator</t>
  </si>
  <si>
    <t>Crisagom</t>
  </si>
  <si>
    <t>Crezir</t>
  </si>
  <si>
    <t>Maira mon</t>
  </si>
  <si>
    <t>Maira vet</t>
  </si>
  <si>
    <t>Maira nil</t>
  </si>
  <si>
    <t>Selimon</t>
  </si>
  <si>
    <t>Lena</t>
  </si>
  <si>
    <t>Plandis</t>
  </si>
  <si>
    <t>Cambu</t>
  </si>
  <si>
    <t>Cruine</t>
  </si>
  <si>
    <t>Palier</t>
  </si>
  <si>
    <t>Parom</t>
  </si>
  <si>
    <t>(Colégio Alquimico)</t>
  </si>
  <si>
    <t>(Colégio das llusões)</t>
  </si>
  <si>
    <t>(Colégio do Conhecimento)</t>
  </si>
  <si>
    <t>(Colégio Elemental)</t>
  </si>
  <si>
    <t>(Colégio Naturalista)</t>
  </si>
  <si>
    <t>(Colégio Necromântico)</t>
  </si>
  <si>
    <t>(Ordem de Blator)</t>
  </si>
  <si>
    <t>(Ordem de Cambu)</t>
  </si>
  <si>
    <t>(Ordem de Crezir)</t>
  </si>
  <si>
    <t>(Ordem de Crisagom)</t>
  </si>
  <si>
    <t>(Ordem de Cruine)</t>
  </si>
  <si>
    <t>(Ordem de Ganis)</t>
  </si>
  <si>
    <t>(Ordem de Lena)</t>
  </si>
  <si>
    <t>(Ordem de Palier)</t>
  </si>
  <si>
    <t>(Ordem de Parom)</t>
  </si>
  <si>
    <t>(Ordem de Plandis)</t>
  </si>
  <si>
    <t>(Ordem de Selimon)</t>
  </si>
  <si>
    <t>(Ordem de Sevides)</t>
  </si>
  <si>
    <t>(Academia de Infantaria)</t>
  </si>
  <si>
    <t>(Academia dos Cavaleiros)</t>
  </si>
  <si>
    <t>(Academia dos Gladiadores)</t>
  </si>
  <si>
    <t>(Academia dos Arqueiro)</t>
  </si>
  <si>
    <t>(Guilda dos Ladrões)</t>
  </si>
  <si>
    <t>(Guilda dos Assassinos)</t>
  </si>
  <si>
    <t>(Guilda dos Piratas)</t>
  </si>
  <si>
    <t>-</t>
  </si>
  <si>
    <t>Fís</t>
  </si>
  <si>
    <t>Deuses</t>
  </si>
  <si>
    <t>Tecnicas de Combate</t>
  </si>
  <si>
    <t>Tecnicas</t>
  </si>
  <si>
    <t>Força Interior**</t>
  </si>
  <si>
    <t>Golpe Giratório**</t>
  </si>
  <si>
    <t>Golpe Letal**</t>
  </si>
  <si>
    <t>Voz de Comando**</t>
  </si>
  <si>
    <t>Combate com Arco**</t>
  </si>
  <si>
    <t>Direcionamento**</t>
  </si>
  <si>
    <t>Flechada Dupla**</t>
  </si>
  <si>
    <t>Mira**</t>
  </si>
  <si>
    <t>Carga de Arremesso**</t>
  </si>
  <si>
    <t>Carga Montada**</t>
  </si>
  <si>
    <t>Combate com Escudo**</t>
  </si>
  <si>
    <t>Contra-ataque**</t>
  </si>
  <si>
    <t>Desequilibrar**</t>
  </si>
  <si>
    <t>Fúria**</t>
  </si>
  <si>
    <t>Atributos</t>
  </si>
  <si>
    <t>Pontos para Aquisição</t>
  </si>
  <si>
    <t>Abrigo</t>
  </si>
  <si>
    <t>Armadura Elemental</t>
  </si>
  <si>
    <t>Camuflagem</t>
  </si>
  <si>
    <t>Despistamento</t>
  </si>
  <si>
    <t>Elo Animal</t>
  </si>
  <si>
    <t>Empatia Animal</t>
  </si>
  <si>
    <t>Ler Trilhas</t>
  </si>
  <si>
    <t>Montar</t>
  </si>
  <si>
    <t>Rastreamento</t>
  </si>
  <si>
    <t>Resistência</t>
  </si>
  <si>
    <t>Resistência à Fadiga</t>
  </si>
  <si>
    <t>Resistência Elemental</t>
  </si>
  <si>
    <t>Amizade</t>
  </si>
  <si>
    <t>Análise</t>
  </si>
  <si>
    <t>Detecção de Magia</t>
  </si>
  <si>
    <t>Lendas</t>
  </si>
  <si>
    <t>Linguagem</t>
  </si>
  <si>
    <t>Memorização</t>
  </si>
  <si>
    <t>Silêncio</t>
  </si>
  <si>
    <t>Sugestão</t>
  </si>
  <si>
    <t>Ventriloquismo</t>
  </si>
  <si>
    <t>Apelo</t>
  </si>
  <si>
    <t>Curas Físicas</t>
  </si>
  <si>
    <t>Esconjuração</t>
  </si>
  <si>
    <t>Quebra de Encantos</t>
  </si>
  <si>
    <t>Ordens</t>
  </si>
  <si>
    <t>Sagração de Itens</t>
  </si>
  <si>
    <t>Contatos</t>
  </si>
  <si>
    <t>Curas Heróicas</t>
  </si>
  <si>
    <t>Maldições</t>
  </si>
  <si>
    <t>Presença Divina</t>
  </si>
  <si>
    <t>Solo Sagrado</t>
  </si>
  <si>
    <t>Área de Paz</t>
  </si>
  <si>
    <t>Curas Espirituais</t>
  </si>
  <si>
    <t>Purificação</t>
  </si>
  <si>
    <t>Regeneração</t>
  </si>
  <si>
    <t>Sacrifício</t>
  </si>
  <si>
    <t>Corrente</t>
  </si>
  <si>
    <t>Proteção Divina</t>
  </si>
  <si>
    <t>Recuperação Física</t>
  </si>
  <si>
    <t>Ressurreição</t>
  </si>
  <si>
    <t>Serenidade</t>
  </si>
  <si>
    <t>Vigor</t>
  </si>
  <si>
    <t>Auxílio Natural</t>
  </si>
  <si>
    <t>Controle Climático</t>
  </si>
  <si>
    <t>Hidrotolerância</t>
  </si>
  <si>
    <t>Relâmpagos</t>
  </si>
  <si>
    <t>Hidromanipulação</t>
  </si>
  <si>
    <t>Ira Divina</t>
  </si>
  <si>
    <t>Benção</t>
  </si>
  <si>
    <t>Cobertura</t>
  </si>
  <si>
    <t>Convocação</t>
  </si>
  <si>
    <t>Fanatismo</t>
  </si>
  <si>
    <t>Bravura</t>
  </si>
  <si>
    <t>Coordenação</t>
  </si>
  <si>
    <t>Detectar Intenções</t>
  </si>
  <si>
    <t>Empatia</t>
  </si>
  <si>
    <t>Modificar Espírito</t>
  </si>
  <si>
    <t>Avaliação</t>
  </si>
  <si>
    <t>Sexto Sentido</t>
  </si>
  <si>
    <t>Covardia</t>
  </si>
  <si>
    <t>Força Sagrada</t>
  </si>
  <si>
    <t>Ódio</t>
  </si>
  <si>
    <t>Visão de Batalhas</t>
  </si>
  <si>
    <t>Visão Noturna</t>
  </si>
  <si>
    <t>Auxílio Incerto</t>
  </si>
  <si>
    <t>Ato Falho</t>
  </si>
  <si>
    <t>Azar</t>
  </si>
  <si>
    <t>Obstinação</t>
  </si>
  <si>
    <t>Previsibilidade</t>
  </si>
  <si>
    <t>Sorte</t>
  </si>
  <si>
    <t>Persistência</t>
  </si>
  <si>
    <t>Força Sentimental</t>
  </si>
  <si>
    <t>Ligação Afetiva</t>
  </si>
  <si>
    <t>Rejuvenescimento</t>
  </si>
  <si>
    <t>Detecções</t>
  </si>
  <si>
    <t>Fogo Divino</t>
  </si>
  <si>
    <t>Proteção Mental</t>
  </si>
  <si>
    <t>Restauração</t>
  </si>
  <si>
    <t>Anulação Mística</t>
  </si>
  <si>
    <t>Leitura</t>
  </si>
  <si>
    <t>Runas</t>
  </si>
  <si>
    <t>Aura Divina</t>
  </si>
  <si>
    <t>Lâmina de Luz</t>
  </si>
  <si>
    <t>Necroconhecimento</t>
  </si>
  <si>
    <t>Piroproteção</t>
  </si>
  <si>
    <t>Necropotência</t>
  </si>
  <si>
    <t>Ataque Impetuoso</t>
  </si>
  <si>
    <t>Marca da Morte</t>
  </si>
  <si>
    <t>Ritual de Sangue</t>
  </si>
  <si>
    <t>Controle Mecânico</t>
  </si>
  <si>
    <t>Fabricação</t>
  </si>
  <si>
    <t>Forma de Pedra</t>
  </si>
  <si>
    <t>Ícone Sagrado</t>
  </si>
  <si>
    <t>Onda Destrutiva</t>
  </si>
  <si>
    <t>Bola de Fogo</t>
  </si>
  <si>
    <t>Contatos Mentais</t>
  </si>
  <si>
    <t>Desintegração</t>
  </si>
  <si>
    <t>Invisibilidade</t>
  </si>
  <si>
    <t>Levitação</t>
  </si>
  <si>
    <t>Manipulação de Luz</t>
  </si>
  <si>
    <t>Mutação</t>
  </si>
  <si>
    <t>Raio Elétrico</t>
  </si>
  <si>
    <t>Sono</t>
  </si>
  <si>
    <t>Telecinese</t>
  </si>
  <si>
    <t>Transformação</t>
  </si>
  <si>
    <t>Transporte Dimencional</t>
  </si>
  <si>
    <t>Aeroataque</t>
  </si>
  <si>
    <t>Aeromanipulação</t>
  </si>
  <si>
    <t>Dardos de Gelo</t>
  </si>
  <si>
    <t>Domínio</t>
  </si>
  <si>
    <t>Elemental da Água</t>
  </si>
  <si>
    <t>Elemental do Ar</t>
  </si>
  <si>
    <t>Elemental do Fogo</t>
  </si>
  <si>
    <t>Elemental da Terra</t>
  </si>
  <si>
    <t>Geomanipulação</t>
  </si>
  <si>
    <t>Geoproteção</t>
  </si>
  <si>
    <t>Meteoros</t>
  </si>
  <si>
    <t>Piromanipulação</t>
  </si>
  <si>
    <t>Prisão</t>
  </si>
  <si>
    <t>Retorno</t>
  </si>
  <si>
    <t>Alucinação</t>
  </si>
  <si>
    <t>Armadilha</t>
  </si>
  <si>
    <t>Barreira Mística</t>
  </si>
  <si>
    <t>Clarividência</t>
  </si>
  <si>
    <t>Escuridão</t>
  </si>
  <si>
    <t>Ilusões</t>
  </si>
  <si>
    <t>Imagem</t>
  </si>
  <si>
    <t>Medo</t>
  </si>
  <si>
    <t>Pesadelo</t>
  </si>
  <si>
    <t>Possessão</t>
  </si>
  <si>
    <t>Projeção</t>
  </si>
  <si>
    <t>Pseudoconsciência</t>
  </si>
  <si>
    <t>Pseudomatéria</t>
  </si>
  <si>
    <t>Vínculo</t>
  </si>
  <si>
    <t>Assombração</t>
  </si>
  <si>
    <t>Círculo de Proteção</t>
  </si>
  <si>
    <t>Controle</t>
  </si>
  <si>
    <t>Criação</t>
  </si>
  <si>
    <t>Degeneração Física</t>
  </si>
  <si>
    <t>Doenças</t>
  </si>
  <si>
    <t>Necroanimação</t>
  </si>
  <si>
    <t>Paralisia</t>
  </si>
  <si>
    <t>Putrefação</t>
  </si>
  <si>
    <t>Toque Gélido</t>
  </si>
  <si>
    <t>Animação Vegetal</t>
  </si>
  <si>
    <t>Armadura Natural</t>
  </si>
  <si>
    <t>Ataque Térmico</t>
  </si>
  <si>
    <t>Biogerminação</t>
  </si>
  <si>
    <t>Chuva Ácida</t>
  </si>
  <si>
    <t>Conjuração Natural</t>
  </si>
  <si>
    <t>Desertificação</t>
  </si>
  <si>
    <t>Domínio Natural</t>
  </si>
  <si>
    <t>Escudo Térmico</t>
  </si>
  <si>
    <t>Feixes Incandescentes</t>
  </si>
  <si>
    <t>Fitogênese</t>
  </si>
  <si>
    <t>Prisão Vegetal</t>
  </si>
  <si>
    <t>Proteção Vegetal</t>
  </si>
  <si>
    <t>Raízes Místicas</t>
  </si>
  <si>
    <t>Sentido Natural</t>
  </si>
  <si>
    <t>Terremoto</t>
  </si>
  <si>
    <t>Criptograma Místico</t>
  </si>
  <si>
    <t>Domínio Mental</t>
  </si>
  <si>
    <t>Escrituras Místicas</t>
  </si>
  <si>
    <t>Esquecimento</t>
  </si>
  <si>
    <t>Lágrima de Dragão</t>
  </si>
  <si>
    <t>Marca Arcana</t>
  </si>
  <si>
    <t>Onda Psíquica</t>
  </si>
  <si>
    <t>Plano Mística</t>
  </si>
  <si>
    <t>Projeção Sensorial</t>
  </si>
  <si>
    <t>Projeção Mental</t>
  </si>
  <si>
    <t>Refletir</t>
  </si>
  <si>
    <t>Sósia</t>
  </si>
  <si>
    <t>Visão Mística</t>
  </si>
  <si>
    <t>Unidade Natural</t>
  </si>
  <si>
    <t>Assimilação</t>
  </si>
  <si>
    <t>Aura Mágica</t>
  </si>
  <si>
    <t>Bloqueio</t>
  </si>
  <si>
    <t>Cataclisma</t>
  </si>
  <si>
    <t>Conversão Energética</t>
  </si>
  <si>
    <t>Encantamento</t>
  </si>
  <si>
    <t>Encolhimento</t>
  </si>
  <si>
    <t>Escudo Místico</t>
  </si>
  <si>
    <t>Explosão Mística</t>
  </si>
  <si>
    <t>Geoanimação</t>
  </si>
  <si>
    <t>Libertação</t>
  </si>
  <si>
    <t>Mutualidade</t>
  </si>
  <si>
    <t>Réplicas</t>
  </si>
  <si>
    <t>Retenção Mágica</t>
  </si>
  <si>
    <t>Transmutação</t>
  </si>
  <si>
    <t>Animação Metálica</t>
  </si>
  <si>
    <t>(Ordem de Maira mon)</t>
  </si>
  <si>
    <t>(Ordem de Maira vet)</t>
  </si>
  <si>
    <t>(Ordem de Maira nil)</t>
  </si>
  <si>
    <t>Magia (Total)</t>
  </si>
  <si>
    <t>Magia (Básica)</t>
  </si>
  <si>
    <t>Int</t>
  </si>
  <si>
    <t>Aur</t>
  </si>
  <si>
    <t>Sem Especialização</t>
  </si>
  <si>
    <t>Magia (especializada)</t>
  </si>
  <si>
    <t>pontos gastos</t>
  </si>
  <si>
    <t>Campo abençoado</t>
  </si>
  <si>
    <t>Graça divina</t>
  </si>
  <si>
    <t>Comunhão natural</t>
  </si>
  <si>
    <t>Pertences &amp; Afins</t>
  </si>
  <si>
    <t>Magias</t>
  </si>
  <si>
    <t>Presença Intimidadora</t>
  </si>
  <si>
    <t>Resistência a Fadiga</t>
  </si>
  <si>
    <t>Manipulação da Luz</t>
  </si>
  <si>
    <t>Detecção Magia</t>
  </si>
  <si>
    <t>Transformação Metálica</t>
  </si>
  <si>
    <t>Valor Sorteado</t>
  </si>
  <si>
    <t>Def</t>
  </si>
  <si>
    <t>Abs</t>
  </si>
  <si>
    <t>EH</t>
  </si>
  <si>
    <t>EF Bas.</t>
  </si>
  <si>
    <t>Atributos Básicos</t>
  </si>
  <si>
    <t>Atributos Secundários</t>
  </si>
  <si>
    <t>EF</t>
  </si>
  <si>
    <t>(Trilha dos Caçadores)</t>
  </si>
  <si>
    <t>(Trilha dos Guardiões)</t>
  </si>
  <si>
    <t>(Trilha dos Exploradores)</t>
  </si>
  <si>
    <t>Bote</t>
  </si>
  <si>
    <t>Caçada</t>
  </si>
  <si>
    <t>Faro</t>
  </si>
  <si>
    <t>Fôlego</t>
  </si>
  <si>
    <t>Garras</t>
  </si>
  <si>
    <t>Peçonha</t>
  </si>
  <si>
    <t>Vigília</t>
  </si>
  <si>
    <t>Visão Térmica</t>
  </si>
  <si>
    <t>Convocação Animal</t>
  </si>
  <si>
    <t>Força Mútua</t>
  </si>
  <si>
    <t>Habilidade Animal</t>
  </si>
  <si>
    <t>Inteligência Animal</t>
  </si>
  <si>
    <t>Licantropia Lupina</t>
  </si>
  <si>
    <t>Proteção Natural</t>
  </si>
  <si>
    <t>Conhecimento Natural</t>
  </si>
  <si>
    <t>Deslocamento Natural</t>
  </si>
  <si>
    <t>Orientação</t>
  </si>
  <si>
    <t>Pressentir Perigo</t>
  </si>
  <si>
    <t>Visão de Cena</t>
  </si>
  <si>
    <t>(Confraria dos Artistas)</t>
  </si>
  <si>
    <t>(Confraria dos Arautos)</t>
  </si>
  <si>
    <t>(Confraria dos Eruditos)</t>
  </si>
  <si>
    <t>Aura Ameaçadora</t>
  </si>
  <si>
    <t>Canção de Alento</t>
  </si>
  <si>
    <t>Canção do Sono</t>
  </si>
  <si>
    <t>Canção do Tormento</t>
  </si>
  <si>
    <t>Fascínio</t>
  </si>
  <si>
    <t>Ruído</t>
  </si>
  <si>
    <t>Tensão</t>
  </si>
  <si>
    <t>Ausência</t>
  </si>
  <si>
    <t>Boato</t>
  </si>
  <si>
    <t>Contatos musicais</t>
  </si>
  <si>
    <t>Detectar Intenção</t>
  </si>
  <si>
    <t>Identificação</t>
  </si>
  <si>
    <t>Leitura Labial</t>
  </si>
  <si>
    <t>Manipular Confiança</t>
  </si>
  <si>
    <t>Motivação</t>
  </si>
  <si>
    <t>Aura Emocional</t>
  </si>
  <si>
    <t>Convivência</t>
  </si>
  <si>
    <t>Leitura de Hábitos</t>
  </si>
  <si>
    <t>Lenda Viva</t>
  </si>
  <si>
    <t>Perspicácia</t>
  </si>
  <si>
    <t>1d10</t>
  </si>
  <si>
    <t>Passagem de Estágio</t>
  </si>
  <si>
    <t>Total =</t>
  </si>
  <si>
    <t>Distração</t>
  </si>
  <si>
    <t>Canção do Animo</t>
  </si>
  <si>
    <t>Escrita</t>
  </si>
  <si>
    <t>Ventrioloquismo</t>
  </si>
  <si>
    <t>Engenharia**</t>
  </si>
  <si>
    <t>Medicina**</t>
  </si>
  <si>
    <t>Trabalho em Metal*</t>
  </si>
  <si>
    <t>Escrita**</t>
  </si>
  <si>
    <t>Gasto</t>
  </si>
  <si>
    <t>Pontos para Aquisição:</t>
  </si>
  <si>
    <t>Pontos Restantes:</t>
  </si>
  <si>
    <t>Obs: preencha os campos marcados em amarelo</t>
  </si>
  <si>
    <t>Pontos p/ Aquisição:</t>
  </si>
  <si>
    <t>Outros Equipamento de Defesa</t>
  </si>
  <si>
    <t>Deus:</t>
  </si>
  <si>
    <r>
      <t>Agi</t>
    </r>
    <r>
      <rPr>
        <vertAlign val="subscript"/>
        <sz val="9"/>
        <color indexed="8"/>
        <rFont val="Verdana"/>
        <family val="2"/>
      </rPr>
      <t>2</t>
    </r>
  </si>
  <si>
    <r>
      <t>x</t>
    </r>
    <r>
      <rPr>
        <vertAlign val="subscript"/>
        <sz val="9"/>
        <color indexed="8"/>
        <rFont val="Verdana"/>
        <family val="2"/>
      </rPr>
      <t>2</t>
    </r>
  </si>
  <si>
    <r>
      <t>Fís</t>
    </r>
    <r>
      <rPr>
        <vertAlign val="subscript"/>
        <sz val="9"/>
        <color indexed="8"/>
        <rFont val="Verdana"/>
        <family val="2"/>
      </rPr>
      <t>2</t>
    </r>
  </si>
  <si>
    <t>Resistência Física</t>
  </si>
  <si>
    <t>Restência à Magia</t>
  </si>
  <si>
    <t>Magico</t>
  </si>
  <si>
    <t>DEF Normal</t>
  </si>
  <si>
    <t>Def Mágica</t>
  </si>
  <si>
    <t>ABS Nor</t>
  </si>
  <si>
    <t>ABS MAG</t>
  </si>
  <si>
    <t>Carácterísticas Básicas</t>
  </si>
  <si>
    <t>Pertences</t>
  </si>
  <si>
    <t>Moedas de Cobre</t>
  </si>
  <si>
    <t>Moedas de Prata</t>
  </si>
  <si>
    <t>Moedas de Ouro</t>
  </si>
  <si>
    <t>Nome:</t>
  </si>
  <si>
    <t>Raça:</t>
  </si>
  <si>
    <t xml:space="preserve">Profissão: </t>
  </si>
  <si>
    <t>Estágio:</t>
  </si>
  <si>
    <t>Experiência:</t>
  </si>
  <si>
    <t>Armaduras, Elmos e Escudos</t>
  </si>
  <si>
    <r>
      <t>Int</t>
    </r>
    <r>
      <rPr>
        <vertAlign val="subscript"/>
        <sz val="10"/>
        <rFont val="Verdana"/>
        <family val="2"/>
      </rPr>
      <t>2</t>
    </r>
  </si>
  <si>
    <r>
      <t>Per</t>
    </r>
    <r>
      <rPr>
        <vertAlign val="subscript"/>
        <sz val="10"/>
        <rFont val="Verdana"/>
        <family val="2"/>
      </rPr>
      <t>2</t>
    </r>
  </si>
  <si>
    <r>
      <t>Car</t>
    </r>
    <r>
      <rPr>
        <vertAlign val="subscript"/>
        <sz val="10"/>
        <rFont val="Verdana"/>
        <family val="2"/>
      </rPr>
      <t>2</t>
    </r>
  </si>
  <si>
    <r>
      <t>Agi</t>
    </r>
    <r>
      <rPr>
        <vertAlign val="subscript"/>
        <sz val="10"/>
        <rFont val="Verdana"/>
        <family val="2"/>
      </rPr>
      <t>2</t>
    </r>
  </si>
  <si>
    <t>Pontos Aquisição</t>
  </si>
  <si>
    <t>Pontos Restantes</t>
  </si>
  <si>
    <t>Total na arma</t>
  </si>
  <si>
    <t>Experiência</t>
  </si>
  <si>
    <t>NIVEL</t>
  </si>
  <si>
    <t>F.A.</t>
  </si>
  <si>
    <t>Modificador</t>
  </si>
  <si>
    <t>AGI</t>
  </si>
  <si>
    <t>Bonus</t>
  </si>
  <si>
    <t>Couraça metálica completa</t>
  </si>
  <si>
    <t>Escudo Médio</t>
  </si>
  <si>
    <t>Agricultura</t>
  </si>
  <si>
    <t>Negociação</t>
  </si>
  <si>
    <t>Manobras</t>
  </si>
  <si>
    <t>Aplicar Esforço</t>
  </si>
  <si>
    <t>Operações de Cerco*</t>
  </si>
  <si>
    <t>Extrair Informação**</t>
  </si>
  <si>
    <r>
      <t>Fis</t>
    </r>
    <r>
      <rPr>
        <vertAlign val="subscript"/>
        <sz val="10"/>
        <rFont val="Verdana"/>
        <family val="2"/>
      </rPr>
      <t>2</t>
    </r>
  </si>
  <si>
    <r>
      <t>For</t>
    </r>
    <r>
      <rPr>
        <vertAlign val="subscript"/>
        <sz val="10"/>
        <rFont val="Verdana"/>
        <family val="2"/>
      </rPr>
      <t>2</t>
    </r>
  </si>
  <si>
    <t xml:space="preserve">Fis </t>
  </si>
  <si>
    <t>Língua</t>
  </si>
  <si>
    <t xml:space="preserve">Int </t>
  </si>
  <si>
    <t>Sabedoria...</t>
  </si>
  <si>
    <t>Ações furtivas</t>
  </si>
  <si>
    <t>Códigos**</t>
  </si>
  <si>
    <t>Destravar Fechaduras**</t>
  </si>
  <si>
    <t>Enganação</t>
  </si>
  <si>
    <t xml:space="preserve">Escapar </t>
  </si>
  <si>
    <t>Examinar</t>
  </si>
  <si>
    <t>Manusear Armadilhas</t>
  </si>
  <si>
    <t xml:space="preserve">Per </t>
  </si>
  <si>
    <t>Sensitividade</t>
  </si>
  <si>
    <r>
      <t>Aur</t>
    </r>
    <r>
      <rPr>
        <vertAlign val="subscript"/>
        <sz val="10"/>
        <rFont val="Verdana"/>
        <family val="2"/>
      </rPr>
      <t>2</t>
    </r>
  </si>
  <si>
    <t>total</t>
  </si>
  <si>
    <t>Dest. Fechaduras**</t>
  </si>
  <si>
    <t>Ext. Informação**</t>
  </si>
  <si>
    <t>Manus. Armadilhas</t>
  </si>
  <si>
    <t>Oper. de Cerco</t>
  </si>
  <si>
    <t>l</t>
  </si>
  <si>
    <t>m</t>
  </si>
  <si>
    <t>p</t>
  </si>
  <si>
    <r>
      <rPr>
        <b/>
        <sz val="8"/>
        <rFont val="Times New Roman"/>
        <family val="1"/>
      </rPr>
      <t>Arco Composto</t>
    </r>
  </si>
  <si>
    <r>
      <rPr>
        <b/>
        <sz val="8"/>
        <rFont val="Times New Roman"/>
        <family val="1"/>
      </rPr>
      <t>PmA</t>
    </r>
  </si>
  <si>
    <r>
      <rPr>
        <b/>
        <sz val="8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/>
    </r>
  </si>
  <si>
    <r>
      <rPr>
        <b/>
        <sz val="8"/>
        <rFont val="Times New Roman"/>
        <family val="1"/>
      </rPr>
      <t>200m</t>
    </r>
  </si>
  <si>
    <r>
      <rPr>
        <b/>
        <sz val="8"/>
        <rFont val="Times New Roman"/>
        <family val="1"/>
      </rPr>
      <t>X</t>
    </r>
  </si>
  <si>
    <r>
      <rPr>
        <b/>
        <sz val="8"/>
        <rFont val="Times New Roman"/>
        <family val="1"/>
      </rPr>
      <t>2m</t>
    </r>
  </si>
  <si>
    <r>
      <rPr>
        <b/>
        <sz val="8"/>
        <rFont val="Times New Roman"/>
        <family val="1"/>
      </rPr>
      <t>0</t>
    </r>
  </si>
  <si>
    <r>
      <rPr>
        <sz val="9"/>
        <rFont val="Palatino Linotype"/>
        <family val="1"/>
      </rPr>
      <t>3</t>
    </r>
  </si>
  <si>
    <r>
      <rPr>
        <sz val="9"/>
        <rFont val="Palatino Linotype"/>
        <family val="1"/>
      </rPr>
      <t>1</t>
    </r>
  </si>
  <si>
    <r>
      <rPr>
        <b/>
        <sz val="8"/>
        <rFont val="Times New Roman"/>
        <family val="1"/>
      </rPr>
      <t>-4</t>
    </r>
  </si>
  <si>
    <r>
      <rPr>
        <b/>
        <sz val="8"/>
        <rFont val="Times New Roman"/>
        <family val="1"/>
      </rPr>
      <t>16</t>
    </r>
  </si>
  <si>
    <r>
      <rPr>
        <b/>
        <sz val="8"/>
        <rFont val="Times New Roman"/>
        <family val="1"/>
      </rPr>
      <t>12</t>
    </r>
  </si>
  <si>
    <r>
      <rPr>
        <b/>
        <sz val="8"/>
        <rFont val="Times New Roman"/>
        <family val="1"/>
      </rPr>
      <t>4</t>
    </r>
  </si>
  <si>
    <r>
      <rPr>
        <b/>
        <sz val="8"/>
        <rFont val="Times New Roman"/>
        <family val="1"/>
      </rPr>
      <t>Arco de Guerra</t>
    </r>
  </si>
  <si>
    <r>
      <rPr>
        <b/>
        <sz val="8"/>
        <rFont val="Times New Roman"/>
        <family val="1"/>
      </rPr>
      <t>PpA</t>
    </r>
  </si>
  <si>
    <r>
      <rPr>
        <b/>
        <sz val="8"/>
        <rFont val="Times New Roman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</si>
  <si>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rPr>
        <b/>
        <sz val="8"/>
        <rFont val="Times New Roman"/>
        <family val="1"/>
      </rPr>
      <t>160m</t>
    </r>
  </si>
  <si>
    <r>
      <rPr>
        <b/>
        <sz val="8"/>
        <rFont val="Times New Roman"/>
        <family val="1"/>
      </rPr>
      <t>1</t>
    </r>
  </si>
  <si>
    <r>
      <rPr>
        <sz val="9"/>
        <rFont val="Palatino Linotype"/>
        <family val="1"/>
      </rPr>
      <t>2</t>
    </r>
  </si>
  <si>
    <r>
      <rPr>
        <b/>
        <sz val="8"/>
        <rFont val="Times New Roman"/>
        <family val="1"/>
      </rPr>
      <t>20</t>
    </r>
  </si>
  <si>
    <r>
      <rPr>
        <b/>
        <sz val="8"/>
        <rFont val="Times New Roman"/>
        <family val="1"/>
      </rPr>
      <t>15</t>
    </r>
  </si>
  <si>
    <r>
      <rPr>
        <b/>
        <sz val="8"/>
        <rFont val="Times New Roman"/>
        <family val="1"/>
      </rPr>
      <t>10</t>
    </r>
  </si>
  <si>
    <r>
      <rPr>
        <sz val="9"/>
        <rFont val="Palatino Linotype"/>
        <family val="1"/>
      </rPr>
      <t>5</t>
    </r>
  </si>
  <si>
    <r>
      <rPr>
        <b/>
        <sz val="8"/>
        <rFont val="Times New Roman"/>
        <family val="1"/>
      </rPr>
      <t>Arco Longo Élfico</t>
    </r>
  </si>
  <si>
    <r>
      <rPr>
        <b/>
        <sz val="8"/>
        <rFont val="Times New Roman"/>
        <family val="1"/>
      </rPr>
      <t>300m</t>
    </r>
  </si>
  <si>
    <r>
      <rPr>
        <b/>
        <sz val="8"/>
        <rFont val="Times New Roman"/>
        <family val="1"/>
      </rPr>
      <t>2</t>
    </r>
  </si>
  <si>
    <r>
      <rPr>
        <b/>
        <sz val="8"/>
        <rFont val="Times New Roman"/>
        <family val="1"/>
      </rPr>
      <t>24</t>
    </r>
  </si>
  <si>
    <r>
      <rPr>
        <b/>
        <sz val="8"/>
        <rFont val="Times New Roman"/>
        <family val="1"/>
      </rPr>
      <t>6</t>
    </r>
  </si>
  <si>
    <r>
      <rPr>
        <b/>
        <sz val="8"/>
        <rFont val="Times New Roman"/>
        <family val="1"/>
      </rPr>
      <t>Arco Simples</t>
    </r>
  </si>
  <si>
    <r>
      <rPr>
        <b/>
        <sz val="8"/>
        <rFont val="Times New Roman"/>
        <family val="1"/>
      </rPr>
      <t>120m</t>
    </r>
  </si>
  <si>
    <r>
      <rPr>
        <b/>
        <sz val="8"/>
        <rFont val="Times New Roman"/>
        <family val="1"/>
      </rPr>
      <t>3</t>
    </r>
  </si>
  <si>
    <r>
      <rPr>
        <b/>
        <sz val="8"/>
        <rFont val="Times New Roman"/>
        <family val="1"/>
      </rPr>
      <t>9</t>
    </r>
  </si>
  <si>
    <r>
      <rPr>
        <b/>
        <sz val="8"/>
        <rFont val="Times New Roman"/>
        <family val="1"/>
      </rPr>
      <t>Arpão</t>
    </r>
  </si>
  <si>
    <r>
      <rPr>
        <b/>
        <sz val="8"/>
        <rFont val="Times New Roman"/>
        <family val="1"/>
      </rPr>
      <t>PmL</t>
    </r>
  </si>
  <si>
    <r>
      <rPr>
        <b/>
        <sz val="8"/>
        <rFont val="Times New Roman"/>
        <family val="1"/>
      </rPr>
      <t>30m</t>
    </r>
  </si>
  <si>
    <r>
      <rPr>
        <b/>
        <sz val="8"/>
        <rFont val="Times New Roman"/>
        <family val="1"/>
      </rPr>
      <t>lm</t>
    </r>
  </si>
  <si>
    <r>
      <rPr>
        <sz val="9"/>
        <rFont val="Palatino Linotype"/>
        <family val="1"/>
      </rPr>
      <t>-3</t>
    </r>
  </si>
  <si>
    <r>
      <rPr>
        <b/>
        <sz val="8"/>
        <rFont val="Times New Roman"/>
        <family val="1"/>
      </rPr>
      <t xml:space="preserve">Axa </t>
    </r>
    <r>
      <rPr>
        <b/>
        <sz val="8"/>
        <rFont val="Times New Roman"/>
        <family val="1"/>
      </rPr>
      <t>de Armas</t>
    </r>
  </si>
  <si>
    <r>
      <rPr>
        <b/>
        <sz val="8"/>
        <rFont val="Times New Roman"/>
        <family val="1"/>
      </rPr>
      <t>CpM</t>
    </r>
  </si>
  <si>
    <r>
      <rPr>
        <sz val="6"/>
        <rFont val="Times New Roman"/>
        <family val="1"/>
      </rPr>
      <t>-</t>
    </r>
  </si>
  <si>
    <r>
      <rPr>
        <b/>
        <sz val="8"/>
        <rFont val="Times New Roman"/>
        <family val="1"/>
      </rPr>
      <t>Besta</t>
    </r>
  </si>
  <si>
    <r>
      <rPr>
        <b/>
        <sz val="8"/>
        <rFont val="Times New Roman"/>
        <family val="1"/>
      </rPr>
      <t>PpB</t>
    </r>
  </si>
  <si>
    <r>
      <rPr>
        <b/>
        <sz val="8"/>
        <rFont val="Times New Roman"/>
        <family val="1"/>
      </rPr>
      <t>5</t>
    </r>
  </si>
  <si>
    <r>
      <rPr>
        <b/>
        <sz val="8"/>
        <rFont val="Times New Roman"/>
        <family val="1"/>
      </rPr>
      <t>Besta Pesada</t>
    </r>
  </si>
  <si>
    <r>
      <rPr>
        <b/>
        <sz val="8"/>
        <rFont val="Times New Roman"/>
        <family val="1"/>
      </rPr>
      <t>140m</t>
    </r>
  </si>
  <si>
    <r>
      <rPr>
        <sz val="9"/>
        <rFont val="Palatino Linotype"/>
        <family val="1"/>
      </rPr>
      <t>-1</t>
    </r>
  </si>
  <si>
    <r>
      <rPr>
        <b/>
        <sz val="8"/>
        <rFont val="Times New Roman"/>
        <family val="1"/>
      </rPr>
      <t>Boleadeira</t>
    </r>
  </si>
  <si>
    <r>
      <rPr>
        <b/>
        <sz val="8"/>
        <rFont val="Times New Roman"/>
        <family val="1"/>
      </rPr>
      <t>Cl</t>
    </r>
  </si>
  <si>
    <r>
      <rPr>
        <b/>
        <sz val="8"/>
        <rFont val="Times New Roman"/>
        <family val="1"/>
      </rPr>
      <t>20m</t>
    </r>
  </si>
  <si>
    <r>
      <rPr>
        <b/>
        <sz val="8"/>
        <rFont val="Times New Roman"/>
        <family val="1"/>
      </rPr>
      <t>-1</t>
    </r>
  </si>
  <si>
    <r>
      <rPr>
        <b/>
        <sz val="8"/>
        <rFont val="Times New Roman"/>
        <family val="1"/>
      </rPr>
      <t>Bumerangue</t>
    </r>
  </si>
  <si>
    <r>
      <rPr>
        <b/>
        <sz val="8"/>
        <rFont val="Times New Roman"/>
        <family val="1"/>
      </rPr>
      <t>CLD</t>
    </r>
  </si>
  <si>
    <r>
      <rPr>
        <b/>
        <sz val="8"/>
        <rFont val="Times New Roman"/>
        <family val="1"/>
      </rPr>
      <t>1</t>
    </r>
    <r>
      <rPr>
        <sz val="11"/>
        <color theme="1"/>
        <rFont val="Calibri"/>
        <family val="2"/>
        <scheme val="minor"/>
      </rPr>
      <t/>
    </r>
  </si>
  <si>
    <r>
      <rPr>
        <b/>
        <sz val="8"/>
        <rFont val="Times New Roman"/>
        <family val="1"/>
      </rPr>
      <t>40m</t>
    </r>
  </si>
  <si>
    <r>
      <rPr>
        <b/>
        <sz val="8"/>
        <rFont val="Times New Roman"/>
        <family val="1"/>
      </rPr>
      <t>Bumerangue de Corte</t>
    </r>
  </si>
  <si>
    <r>
      <rPr>
        <b/>
        <sz val="8"/>
        <rFont val="Times New Roman"/>
        <family val="1"/>
      </rPr>
      <t>Cajado</t>
    </r>
  </si>
  <si>
    <r>
      <rPr>
        <b/>
        <sz val="8"/>
        <rFont val="Times New Roman"/>
        <family val="1"/>
      </rPr>
      <t>EL</t>
    </r>
  </si>
  <si>
    <r>
      <rPr>
        <b/>
        <sz val="8"/>
        <rFont val="Times New Roman"/>
        <family val="1"/>
      </rPr>
      <t>-3</t>
    </r>
  </si>
  <si>
    <r>
      <rPr>
        <b/>
        <sz val="8"/>
        <rFont val="Times New Roman"/>
        <family val="1"/>
      </rPr>
      <t>Cimitarra</t>
    </r>
  </si>
  <si>
    <r>
      <rPr>
        <b/>
        <sz val="8"/>
        <rFont val="Times New Roman"/>
        <family val="1"/>
      </rPr>
      <t>CmE</t>
    </r>
  </si>
  <si>
    <r>
      <rPr>
        <b/>
        <sz val="8"/>
        <rFont val="Times New Roman"/>
        <family val="1"/>
      </rPr>
      <t>Clava</t>
    </r>
  </si>
  <si>
    <r>
      <rPr>
        <b/>
        <sz val="8"/>
        <rFont val="Times New Roman"/>
        <family val="1"/>
      </rPr>
      <t>EM</t>
    </r>
  </si>
  <si>
    <r>
      <rPr>
        <b/>
        <sz val="8"/>
        <rFont val="Times New Roman"/>
        <family val="1"/>
      </rPr>
      <t>Combate Desarmado</t>
    </r>
  </si>
  <si>
    <r>
      <rPr>
        <b/>
        <sz val="8"/>
        <rFont val="Times New Roman"/>
        <family val="1"/>
      </rPr>
      <t>CD</t>
    </r>
  </si>
  <si>
    <r>
      <rPr>
        <b/>
        <sz val="8"/>
        <rFont val="Times New Roman"/>
        <family val="1"/>
      </rPr>
      <t>-2</t>
    </r>
  </si>
  <si>
    <r>
      <rPr>
        <b/>
        <sz val="8"/>
        <rFont val="Times New Roman"/>
        <family val="1"/>
      </rPr>
      <t>Espada</t>
    </r>
  </si>
  <si>
    <r>
      <rPr>
        <b/>
        <sz val="8"/>
        <rFont val="Times New Roman"/>
        <family val="1"/>
      </rPr>
      <t>-</t>
    </r>
  </si>
  <si>
    <t>Espada de Mão e Meia</t>
  </si>
  <si>
    <r>
      <rPr>
        <b/>
        <sz val="8"/>
        <rFont val="Times New Roman"/>
        <family val="1"/>
      </rPr>
      <t>CpE</t>
    </r>
  </si>
  <si>
    <t>Espada de Mão e Meia (com duas mãos)</t>
  </si>
  <si>
    <r>
      <rPr>
        <b/>
        <sz val="8"/>
        <rFont val="Times New Roman"/>
        <family val="1"/>
      </rPr>
      <t>Faca</t>
    </r>
  </si>
  <si>
    <r>
      <rPr>
        <b/>
        <sz val="8"/>
        <rFont val="Times New Roman"/>
        <family val="1"/>
      </rPr>
      <t>CL</t>
    </r>
  </si>
  <si>
    <r>
      <rPr>
        <b/>
        <sz val="8"/>
        <rFont val="Times New Roman"/>
        <family val="1"/>
      </rPr>
      <t>Funda Projétil de Metal</t>
    </r>
  </si>
  <si>
    <r>
      <rPr>
        <b/>
        <sz val="8"/>
        <rFont val="Times New Roman"/>
        <family val="1"/>
      </rPr>
      <t>60m</t>
    </r>
  </si>
  <si>
    <r>
      <rPr>
        <b/>
        <sz val="8"/>
        <rFont val="Times New Roman"/>
        <family val="1"/>
      </rPr>
      <t>Funda Projétil de Pedra</t>
    </r>
  </si>
  <si>
    <r>
      <rPr>
        <b/>
        <sz val="8"/>
        <rFont val="Times New Roman"/>
        <family val="1"/>
      </rPr>
      <t>Gládio</t>
    </r>
  </si>
  <si>
    <r>
      <rPr>
        <b/>
        <sz val="8"/>
        <rFont val="Times New Roman"/>
        <family val="1"/>
      </rPr>
      <t>Lança de Cavalaria</t>
    </r>
  </si>
  <si>
    <r>
      <rPr>
        <b/>
        <sz val="8"/>
        <rFont val="Times New Roman"/>
        <family val="1"/>
      </rPr>
      <t>PP</t>
    </r>
  </si>
  <si>
    <r>
      <rPr>
        <b/>
        <sz val="8"/>
        <rFont val="Times New Roman"/>
        <family val="1"/>
      </rPr>
      <t>Lança de Guarda</t>
    </r>
  </si>
  <si>
    <r>
      <rPr>
        <b/>
        <sz val="8"/>
        <rFont val="Times New Roman"/>
        <family val="1"/>
      </rPr>
      <t>Lança de Justa</t>
    </r>
  </si>
  <si>
    <r>
      <rPr>
        <b/>
        <sz val="8"/>
        <rFont val="Times New Roman"/>
        <family val="1"/>
      </rPr>
      <t>Lança Leve</t>
    </r>
  </si>
  <si>
    <r>
      <rPr>
        <b/>
        <sz val="8"/>
        <rFont val="Times New Roman"/>
        <family val="1"/>
      </rPr>
      <t>Lança Pesada</t>
    </r>
  </si>
  <si>
    <r>
      <rPr>
        <b/>
        <sz val="8"/>
        <rFont val="Times New Roman"/>
        <family val="1"/>
      </rPr>
      <t>Maça</t>
    </r>
  </si>
  <si>
    <r>
      <rPr>
        <b/>
        <sz val="8"/>
        <rFont val="Times New Roman"/>
        <family val="1"/>
      </rPr>
      <t>Maça de Armas</t>
    </r>
  </si>
  <si>
    <r>
      <rPr>
        <b/>
        <sz val="8"/>
        <rFont val="Times New Roman"/>
        <family val="1"/>
      </rPr>
      <t>Machadinha</t>
    </r>
  </si>
  <si>
    <r>
      <rPr>
        <b/>
        <sz val="8"/>
        <rFont val="Times New Roman"/>
        <family val="1"/>
      </rPr>
      <t>CmM</t>
    </r>
  </si>
  <si>
    <r>
      <rPr>
        <b/>
        <sz val="8"/>
        <rFont val="Times New Roman"/>
        <family val="1"/>
      </rPr>
      <t>25m</t>
    </r>
  </si>
  <si>
    <r>
      <rPr>
        <b/>
        <sz val="8"/>
        <rFont val="Times New Roman"/>
        <family val="1"/>
      </rPr>
      <t>Machado</t>
    </r>
  </si>
  <si>
    <r>
      <rPr>
        <b/>
        <sz val="8"/>
        <rFont val="Times New Roman"/>
        <family val="1"/>
      </rPr>
      <t>Machado Crescente</t>
    </r>
  </si>
  <si>
    <r>
      <rPr>
        <b/>
        <sz val="8"/>
        <rFont val="Times New Roman"/>
        <family val="1"/>
      </rPr>
      <t>Machado de Batalha</t>
    </r>
  </si>
  <si>
    <t>Machado de Guerra</t>
  </si>
  <si>
    <t>Machado de Guerra (com duas mãos)</t>
  </si>
  <si>
    <r>
      <rPr>
        <b/>
        <sz val="8"/>
        <rFont val="Times New Roman"/>
        <family val="1"/>
      </rPr>
      <t>Malho</t>
    </r>
  </si>
  <si>
    <t>Mangual</t>
  </si>
  <si>
    <r>
      <rPr>
        <b/>
        <sz val="8"/>
        <rFont val="Times New Roman"/>
        <family val="1"/>
      </rPr>
      <t>EP</t>
    </r>
  </si>
  <si>
    <t>Mangual (com duas mãos)</t>
  </si>
  <si>
    <r>
      <rPr>
        <b/>
        <sz val="8"/>
        <rFont val="Times New Roman"/>
        <family val="1"/>
      </rPr>
      <t xml:space="preserve">Mangual </t>
    </r>
    <r>
      <rPr>
        <b/>
        <sz val="8"/>
        <rFont val="Times New Roman"/>
        <family val="1"/>
      </rPr>
      <t>Leve</t>
    </r>
  </si>
  <si>
    <r>
      <rPr>
        <b/>
        <sz val="8"/>
        <rFont val="Times New Roman"/>
        <family val="1"/>
      </rPr>
      <t>Manopla</t>
    </r>
  </si>
  <si>
    <r>
      <rPr>
        <b/>
        <sz val="8"/>
        <rFont val="Times New Roman"/>
        <family val="1"/>
      </rPr>
      <t>Marreta de Guerra</t>
    </r>
  </si>
  <si>
    <r>
      <rPr>
        <sz val="9"/>
        <rFont val="Palatino Linotype"/>
        <family val="1"/>
      </rPr>
      <t>4</t>
    </r>
  </si>
  <si>
    <r>
      <rPr>
        <b/>
        <sz val="8"/>
        <rFont val="Times New Roman"/>
        <family val="1"/>
      </rPr>
      <t>Martelo de Guerra</t>
    </r>
  </si>
  <si>
    <r>
      <rPr>
        <b/>
        <sz val="8"/>
        <rFont val="Times New Roman"/>
        <family val="1"/>
      </rPr>
      <t>Montante</t>
    </r>
  </si>
  <si>
    <r>
      <rPr>
        <b/>
        <sz val="8"/>
        <rFont val="Times New Roman"/>
        <family val="1"/>
      </rPr>
      <t>Porrete</t>
    </r>
  </si>
  <si>
    <r>
      <rPr>
        <b/>
        <sz val="8"/>
        <rFont val="Times New Roman"/>
        <family val="1"/>
      </rPr>
      <t>Punhal</t>
    </r>
  </si>
  <si>
    <r>
      <rPr>
        <b/>
        <sz val="8"/>
        <rFont val="Times New Roman"/>
        <family val="1"/>
      </rPr>
      <t>Rapieira</t>
    </r>
  </si>
  <si>
    <r>
      <rPr>
        <b/>
        <sz val="8"/>
        <rFont val="Times New Roman"/>
        <family val="1"/>
      </rPr>
      <t>5m</t>
    </r>
  </si>
  <si>
    <r>
      <rPr>
        <b/>
        <sz val="8"/>
        <rFont val="Times New Roman"/>
        <family val="1"/>
      </rPr>
      <t>Sabre Élfico</t>
    </r>
  </si>
  <si>
    <r>
      <rPr>
        <b/>
        <sz val="8"/>
        <rFont val="Times New Roman"/>
        <family val="1"/>
      </rPr>
      <t>Tridente</t>
    </r>
  </si>
  <si>
    <t>50m</t>
  </si>
  <si>
    <t>FOR</t>
  </si>
  <si>
    <t>PER</t>
  </si>
  <si>
    <t>Rede</t>
  </si>
  <si>
    <t>CI</t>
  </si>
  <si>
    <t>CLD</t>
  </si>
  <si>
    <t>PpA</t>
  </si>
  <si>
    <t>PpB</t>
  </si>
  <si>
    <t>Habilidade Especializada:</t>
  </si>
  <si>
    <t>Arte</t>
  </si>
  <si>
    <t>Habilidades Especializadas</t>
  </si>
  <si>
    <r>
      <t>Fis</t>
    </r>
    <r>
      <rPr>
        <vertAlign val="subscript"/>
        <sz val="8"/>
        <rFont val="Verdana"/>
        <family val="2"/>
      </rPr>
      <t>2</t>
    </r>
  </si>
  <si>
    <t>Habilidades Compradas:</t>
  </si>
  <si>
    <t>Média de custo</t>
  </si>
  <si>
    <t>Media de quantidade</t>
  </si>
  <si>
    <t>Quant. Máxima</t>
  </si>
  <si>
    <t>Habilidades a serem comparadas:</t>
  </si>
  <si>
    <t>Custo médio</t>
  </si>
  <si>
    <t>Pontos</t>
  </si>
  <si>
    <t>Quantidade média</t>
  </si>
  <si>
    <t>Ativa</t>
  </si>
  <si>
    <t>Passiva</t>
  </si>
  <si>
    <t>Equipamento de Defesa / Absorção</t>
  </si>
  <si>
    <t>Técnicas Básicas</t>
  </si>
  <si>
    <t>Técnicas Restritas a Profissão</t>
  </si>
  <si>
    <t>Técnicas da Especialização</t>
  </si>
  <si>
    <t>Aparar</t>
  </si>
  <si>
    <t>Ataque Oportuno</t>
  </si>
  <si>
    <t>Carga</t>
  </si>
  <si>
    <t>Combate não Letal</t>
  </si>
  <si>
    <t>Combate Montado</t>
  </si>
  <si>
    <t>Concentração</t>
  </si>
  <si>
    <t>Desviar</t>
  </si>
  <si>
    <t>Esquiva</t>
  </si>
  <si>
    <t>Imprevisibilidade</t>
  </si>
  <si>
    <t>Luta às Cegas</t>
  </si>
  <si>
    <t>Provocar</t>
  </si>
  <si>
    <t>Resistência à Dor</t>
  </si>
  <si>
    <t>Ambidestria</t>
  </si>
  <si>
    <t>Aprimorar</t>
  </si>
  <si>
    <t>Atirar em Movimento</t>
  </si>
  <si>
    <t>Atravessar o Oponente</t>
  </si>
  <si>
    <t>Carga de Arremesso</t>
  </si>
  <si>
    <t>Combate com Escudo</t>
  </si>
  <si>
    <t>Conduzir o Oponente</t>
  </si>
  <si>
    <t>Contra-Ataque</t>
  </si>
  <si>
    <t>Dano Agravado</t>
  </si>
  <si>
    <t>Disparo Rápido</t>
  </si>
  <si>
    <t>Escolta</t>
  </si>
  <si>
    <t>Golpe Duplo</t>
  </si>
  <si>
    <t>Heroísmo</t>
  </si>
  <si>
    <t>Leitura da Batalha</t>
  </si>
  <si>
    <t>Pugilato</t>
  </si>
  <si>
    <t>Recuperar o Fôlego</t>
  </si>
  <si>
    <t>Remover Debilitações</t>
  </si>
  <si>
    <t>Resistência Extrema</t>
  </si>
  <si>
    <t>Voz de Comando</t>
  </si>
  <si>
    <t xml:space="preserve"> </t>
  </si>
  <si>
    <t>Atributo</t>
  </si>
  <si>
    <t>Ajustar Disparo</t>
  </si>
  <si>
    <t>Combate com Arco</t>
  </si>
  <si>
    <t>Direcionamento</t>
  </si>
  <si>
    <t>Especializar</t>
  </si>
  <si>
    <t>Flechadas Múltiplas</t>
  </si>
  <si>
    <t>Mira</t>
  </si>
  <si>
    <t>Resguardar</t>
  </si>
  <si>
    <t>Ricochetear</t>
  </si>
  <si>
    <t>Linha</t>
  </si>
  <si>
    <t>Estilhaçar</t>
  </si>
  <si>
    <t>Força Interior</t>
  </si>
  <si>
    <t>Golpe Giratório</t>
  </si>
  <si>
    <t>Golpe Letal</t>
  </si>
  <si>
    <t>Posicionamento</t>
  </si>
  <si>
    <t>Inibir Ataque</t>
  </si>
  <si>
    <t>Pressionar o Oponente</t>
  </si>
  <si>
    <t>Brutalizar</t>
  </si>
  <si>
    <t>Desequilibrar</t>
  </si>
  <si>
    <t>Fúria</t>
  </si>
  <si>
    <t>Intimidar</t>
  </si>
  <si>
    <t>Postura Ofensiva</t>
  </si>
  <si>
    <t>Retalhar</t>
  </si>
  <si>
    <t>Sangramento</t>
  </si>
  <si>
    <t>Animosidade</t>
  </si>
  <si>
    <t>Carga Montada</t>
  </si>
  <si>
    <t>Centaurizar</t>
  </si>
  <si>
    <t>Defletir Ataque</t>
  </si>
  <si>
    <t>Expectativa</t>
  </si>
  <si>
    <t>Explorar Fraqueza</t>
  </si>
  <si>
    <t>Postura Defensiva</t>
  </si>
  <si>
    <t xml:space="preserve">Técnicas </t>
  </si>
  <si>
    <t>Tecnicas Escolhida</t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</si>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</sst>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_);[Red]\(0\)"/>
    <numFmt numFmtId="165" formatCode="0.0_);[Red]\(0.0\)"/>
    <numFmt numFmtId="166" formatCode="0_ ;[Red]\-0\ "/>
    <numFmt numFmtId="167" formatCode="0.0"/>
    <numFmt numFmtId="168" formatCode="_-* #,##0_-;\-* #,##0_-;_-* &quot;-&quot;??_-;_-@_-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vertAlign val="subscript"/>
      <sz val="9"/>
      <color indexed="8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vertAlign val="subscript"/>
      <sz val="10"/>
      <name val="Verdana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b/>
      <sz val="14"/>
      <color theme="2" tint="-0.749992370372631"/>
      <name val="Times New Roman"/>
      <family val="1"/>
    </font>
    <font>
      <sz val="14"/>
      <color theme="2" tint="-0.749992370372631"/>
      <name val="Verdana"/>
      <family val="2"/>
    </font>
    <font>
      <b/>
      <sz val="14"/>
      <color theme="2" tint="-0.749992370372631"/>
      <name val="Verdana"/>
      <family val="2"/>
    </font>
    <font>
      <sz val="9"/>
      <color rgb="FFFF0000"/>
      <name val="Verdana"/>
      <family val="2"/>
    </font>
    <font>
      <b/>
      <sz val="12"/>
      <color theme="2" tint="-0.749992370372631"/>
      <name val="Times New Roman"/>
      <family val="1"/>
    </font>
    <font>
      <b/>
      <sz val="8"/>
      <name val="Times New Roman"/>
      <family val="1"/>
    </font>
    <font>
      <sz val="9"/>
      <name val="Palatino Linotype"/>
      <family val="1"/>
    </font>
    <font>
      <sz val="8"/>
      <name val="Times New Roman"/>
      <family val="1"/>
    </font>
    <font>
      <sz val="6"/>
      <name val="Times New Roman"/>
      <family val="1"/>
    </font>
    <font>
      <vertAlign val="subscript"/>
      <sz val="8"/>
      <name val="Verdana"/>
      <family val="2"/>
    </font>
    <font>
      <b/>
      <sz val="10"/>
      <color rgb="FFFF0000"/>
      <name val="Verdana"/>
      <family val="2"/>
    </font>
    <font>
      <sz val="10"/>
      <name val="Arial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8"/>
      <color rgb="FFFFFFFF"/>
      <name val="Verdana"/>
      <family val="2"/>
    </font>
    <font>
      <sz val="8"/>
      <color rgb="FF333333"/>
      <name val="Verdana"/>
      <family val="2"/>
    </font>
    <font>
      <sz val="10"/>
      <color rgb="FF333333"/>
      <name val="Verdana"/>
      <family val="2"/>
    </font>
    <font>
      <sz val="10"/>
      <color rgb="FFFF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DE9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</cellStyleXfs>
  <cellXfs count="65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/>
    <xf numFmtId="0" fontId="5" fillId="0" borderId="1" xfId="0" applyFont="1" applyBorder="1"/>
    <xf numFmtId="0" fontId="5" fillId="0" borderId="2" xfId="0" applyFont="1" applyFill="1" applyBorder="1" applyAlignment="1">
      <alignment horizontal="left"/>
    </xf>
    <xf numFmtId="0" fontId="4" fillId="0" borderId="0" xfId="0" applyFont="1" applyBorder="1" applyAlignment="1"/>
    <xf numFmtId="0" fontId="5" fillId="0" borderId="0" xfId="0" quotePrefix="1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left"/>
    </xf>
    <xf numFmtId="0" fontId="6" fillId="0" borderId="0" xfId="1" quotePrefix="1" applyFont="1" applyFill="1" applyBorder="1" applyAlignment="1" applyProtection="1">
      <alignment horizontal="righ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quotePrefix="1" applyFont="1" applyFill="1" applyBorder="1" applyAlignment="1" applyProtection="1">
      <alignment vertical="center" textRotation="90"/>
    </xf>
    <xf numFmtId="0" fontId="12" fillId="0" borderId="0" xfId="0" quotePrefix="1" applyFont="1" applyFill="1" applyBorder="1" applyAlignment="1" applyProtection="1">
      <alignment textRotation="90"/>
    </xf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/>
    </xf>
    <xf numFmtId="0" fontId="14" fillId="0" borderId="0" xfId="0" quotePrefix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2" fontId="12" fillId="0" borderId="0" xfId="0" applyNumberFormat="1" applyFont="1" applyFill="1" applyBorder="1" applyAlignment="1" applyProtection="1">
      <alignment horizontal="left" vertical="center"/>
    </xf>
    <xf numFmtId="0" fontId="13" fillId="4" borderId="1" xfId="0" applyFont="1" applyFill="1" applyBorder="1" applyAlignment="1" applyProtection="1">
      <alignment horizontal="left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left" vertical="center"/>
    </xf>
    <xf numFmtId="0" fontId="13" fillId="4" borderId="7" xfId="0" applyFont="1" applyFill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left" vertical="center"/>
    </xf>
    <xf numFmtId="0" fontId="12" fillId="3" borderId="6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horizontal="left" vertical="center"/>
    </xf>
    <xf numFmtId="0" fontId="12" fillId="4" borderId="8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left" vertical="center"/>
    </xf>
    <xf numFmtId="0" fontId="12" fillId="0" borderId="12" xfId="0" applyFont="1" applyFill="1" applyBorder="1" applyAlignment="1" applyProtection="1">
      <alignment horizontal="left" vertical="center"/>
    </xf>
    <xf numFmtId="0" fontId="12" fillId="4" borderId="1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22" fillId="7" borderId="0" xfId="0" applyFont="1" applyFill="1" applyBorder="1" applyAlignment="1">
      <alignment horizontal="center"/>
    </xf>
    <xf numFmtId="0" fontId="5" fillId="5" borderId="6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5" borderId="13" xfId="0" applyFont="1" applyFill="1" applyBorder="1" applyAlignment="1" applyProtection="1">
      <protection locked="0"/>
    </xf>
    <xf numFmtId="0" fontId="5" fillId="5" borderId="14" xfId="0" applyFont="1" applyFill="1" applyBorder="1" applyAlignment="1" applyProtection="1">
      <protection locked="0"/>
    </xf>
    <xf numFmtId="0" fontId="5" fillId="5" borderId="15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horizontal="left"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12" fillId="0" borderId="0" xfId="0" applyFont="1" applyBorder="1" applyAlignment="1" applyProtection="1">
      <alignment vertical="center" shrinkToFit="1"/>
    </xf>
    <xf numFmtId="0" fontId="12" fillId="0" borderId="3" xfId="0" applyFont="1" applyFill="1" applyBorder="1" applyAlignment="1" applyProtection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8" fillId="8" borderId="17" xfId="0" applyFont="1" applyFill="1" applyBorder="1" applyAlignment="1"/>
    <xf numFmtId="0" fontId="18" fillId="8" borderId="18" xfId="0" applyFont="1" applyFill="1" applyBorder="1" applyAlignment="1"/>
    <xf numFmtId="0" fontId="17" fillId="0" borderId="0" xfId="0" applyFont="1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Fill="1" applyBorder="1" applyAlignment="1"/>
    <xf numFmtId="0" fontId="17" fillId="0" borderId="0" xfId="0" applyFont="1" applyBorder="1"/>
    <xf numFmtId="0" fontId="18" fillId="0" borderId="0" xfId="0" applyFont="1" applyBorder="1" applyAlignment="1"/>
    <xf numFmtId="0" fontId="18" fillId="8" borderId="20" xfId="0" applyFont="1" applyFill="1" applyBorder="1" applyAlignment="1"/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2" xfId="0" applyFont="1" applyBorder="1"/>
    <xf numFmtId="0" fontId="17" fillId="0" borderId="2" xfId="0" applyFont="1" applyBorder="1" applyAlignment="1"/>
    <xf numFmtId="0" fontId="17" fillId="0" borderId="21" xfId="0" applyFont="1" applyBorder="1"/>
    <xf numFmtId="0" fontId="17" fillId="0" borderId="3" xfId="0" applyFont="1" applyFill="1" applyBorder="1" applyAlignment="1">
      <alignment horizontal="left"/>
    </xf>
    <xf numFmtId="0" fontId="17" fillId="0" borderId="21" xfId="0" applyFont="1" applyBorder="1" applyAlignment="1"/>
    <xf numFmtId="0" fontId="17" fillId="0" borderId="3" xfId="0" applyFont="1" applyBorder="1" applyAlignment="1">
      <alignment horizontal="left"/>
    </xf>
    <xf numFmtId="0" fontId="17" fillId="0" borderId="3" xfId="0" applyFont="1" applyBorder="1"/>
    <xf numFmtId="0" fontId="17" fillId="0" borderId="0" xfId="0" applyFont="1" applyFill="1" applyProtection="1"/>
    <xf numFmtId="0" fontId="17" fillId="5" borderId="23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 wrapText="1"/>
    </xf>
    <xf numFmtId="0" fontId="18" fillId="8" borderId="1" xfId="0" applyFont="1" applyFill="1" applyBorder="1" applyAlignment="1">
      <alignment horizontal="center"/>
    </xf>
    <xf numFmtId="0" fontId="18" fillId="8" borderId="1" xfId="0" applyFont="1" applyFill="1" applyBorder="1" applyAlignment="1" applyProtection="1">
      <alignment horizontal="center"/>
    </xf>
    <xf numFmtId="0" fontId="17" fillId="0" borderId="24" xfId="0" applyFont="1" applyFill="1" applyBorder="1" applyAlignment="1">
      <alignment horizontal="fill" vertical="center"/>
    </xf>
    <xf numFmtId="0" fontId="5" fillId="0" borderId="24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17" fillId="5" borderId="1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/>
    </xf>
    <xf numFmtId="0" fontId="17" fillId="0" borderId="22" xfId="0" applyFont="1" applyFill="1" applyBorder="1" applyAlignment="1">
      <alignment horizontal="fill" vertical="center"/>
    </xf>
    <xf numFmtId="0" fontId="17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wrapText="1"/>
    </xf>
    <xf numFmtId="0" fontId="5" fillId="0" borderId="25" xfId="0" applyFont="1" applyFill="1" applyBorder="1" applyAlignment="1" applyProtection="1">
      <alignment horizontal="center" wrapText="1"/>
    </xf>
    <xf numFmtId="0" fontId="18" fillId="0" borderId="1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horizontal="center"/>
    </xf>
    <xf numFmtId="0" fontId="18" fillId="3" borderId="0" xfId="0" applyFont="1" applyFill="1" applyAlignment="1">
      <alignment horizontal="right"/>
    </xf>
    <xf numFmtId="0" fontId="18" fillId="3" borderId="0" xfId="0" applyFont="1" applyFill="1"/>
    <xf numFmtId="0" fontId="18" fillId="3" borderId="0" xfId="0" applyFont="1" applyFill="1" applyProtection="1"/>
    <xf numFmtId="0" fontId="18" fillId="0" borderId="0" xfId="0" applyFont="1" applyFill="1" applyBorder="1" applyAlignment="1" applyProtection="1">
      <alignment horizontal="left"/>
    </xf>
    <xf numFmtId="0" fontId="18" fillId="5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wrapText="1"/>
    </xf>
    <xf numFmtId="0" fontId="17" fillId="0" borderId="0" xfId="0" applyNumberFormat="1" applyFont="1"/>
    <xf numFmtId="0" fontId="1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17" fillId="0" borderId="0" xfId="0" applyFont="1" applyFill="1" applyAlignment="1" applyProtection="1">
      <alignment horizontal="center"/>
    </xf>
    <xf numFmtId="0" fontId="17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17" fillId="0" borderId="0" xfId="0" applyFont="1" applyFill="1" applyAlignment="1">
      <alignment horizontal="left" vertical="center"/>
    </xf>
    <xf numFmtId="165" fontId="18" fillId="0" borderId="1" xfId="0" applyNumberFormat="1" applyFont="1" applyFill="1" applyBorder="1" applyAlignment="1" applyProtection="1">
      <alignment horizontal="center"/>
    </xf>
    <xf numFmtId="0" fontId="17" fillId="0" borderId="25" xfId="0" applyFont="1" applyFill="1" applyBorder="1" applyAlignment="1">
      <alignment horizontal="fill" vertical="center"/>
    </xf>
    <xf numFmtId="0" fontId="17" fillId="8" borderId="6" xfId="0" applyFont="1" applyFill="1" applyBorder="1" applyAlignment="1">
      <alignment horizontal="center"/>
    </xf>
    <xf numFmtId="0" fontId="18" fillId="8" borderId="26" xfId="0" applyFont="1" applyFill="1" applyBorder="1" applyAlignment="1">
      <alignment horizontal="right"/>
    </xf>
    <xf numFmtId="0" fontId="18" fillId="8" borderId="8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left" vertical="center"/>
    </xf>
    <xf numFmtId="0" fontId="17" fillId="0" borderId="0" xfId="0" applyFont="1" applyFill="1" applyAlignment="1" applyProtection="1">
      <alignment horizontal="left"/>
    </xf>
    <xf numFmtId="0" fontId="18" fillId="0" borderId="0" xfId="0" applyFont="1" applyFill="1" applyAlignment="1" applyProtection="1">
      <alignment horizontal="left"/>
    </xf>
    <xf numFmtId="0" fontId="24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12" fillId="0" borderId="27" xfId="0" applyFont="1" applyFill="1" applyBorder="1" applyAlignment="1" applyProtection="1">
      <alignment vertical="center"/>
    </xf>
    <xf numFmtId="0" fontId="0" fillId="0" borderId="0" xfId="0" applyBorder="1"/>
    <xf numFmtId="0" fontId="0" fillId="0" borderId="0" xfId="0" applyNumberFormat="1" applyBorder="1"/>
    <xf numFmtId="0" fontId="6" fillId="0" borderId="1" xfId="0" applyFont="1" applyFill="1" applyBorder="1" applyAlignment="1">
      <alignment horizontal="center" vertical="center" wrapText="1"/>
    </xf>
    <xf numFmtId="0" fontId="16" fillId="0" borderId="30" xfId="0" applyFont="1" applyBorder="1" applyAlignment="1" applyProtection="1">
      <alignment horizontal="left"/>
    </xf>
    <xf numFmtId="0" fontId="16" fillId="0" borderId="31" xfId="0" applyFont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63" xfId="0" applyFont="1" applyFill="1" applyBorder="1" applyAlignment="1" applyProtection="1">
      <alignment vertical="center"/>
    </xf>
    <xf numFmtId="0" fontId="13" fillId="0" borderId="6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 vertical="center"/>
    </xf>
    <xf numFmtId="0" fontId="17" fillId="0" borderId="45" xfId="0" applyFont="1" applyBorder="1"/>
    <xf numFmtId="0" fontId="12" fillId="7" borderId="25" xfId="0" applyFont="1" applyFill="1" applyBorder="1" applyAlignment="1" applyProtection="1">
      <alignment horizontal="left" vertical="center"/>
    </xf>
    <xf numFmtId="0" fontId="12" fillId="7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27" fillId="0" borderId="1" xfId="0" applyFont="1" applyBorder="1" applyAlignment="1">
      <alignment vertical="center"/>
    </xf>
    <xf numFmtId="0" fontId="0" fillId="0" borderId="1" xfId="0" applyBorder="1" applyAlignment="1">
      <alignment horizontal="left" vertical="top"/>
    </xf>
    <xf numFmtId="0" fontId="29" fillId="0" borderId="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5" borderId="66" xfId="0" applyFont="1" applyFill="1" applyBorder="1" applyAlignment="1" applyProtection="1">
      <alignment horizontal="center"/>
      <protection locked="0"/>
    </xf>
    <xf numFmtId="0" fontId="5" fillId="8" borderId="65" xfId="0" applyFont="1" applyFill="1" applyBorder="1" applyAlignment="1">
      <alignment horizontal="center"/>
    </xf>
    <xf numFmtId="0" fontId="23" fillId="10" borderId="18" xfId="0" applyFont="1" applyFill="1" applyBorder="1" applyAlignment="1" applyProtection="1">
      <alignment horizontal="center"/>
    </xf>
    <xf numFmtId="0" fontId="23" fillId="10" borderId="20" xfId="0" applyFont="1" applyFill="1" applyBorder="1" applyAlignment="1" applyProtection="1">
      <alignment horizontal="center"/>
    </xf>
    <xf numFmtId="0" fontId="27" fillId="0" borderId="1" xfId="0" applyFont="1" applyBorder="1" applyAlignment="1"/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1" xfId="0" applyFont="1" applyBorder="1" applyAlignment="1"/>
    <xf numFmtId="0" fontId="17" fillId="0" borderId="0" xfId="0" applyFont="1" applyAlignment="1"/>
    <xf numFmtId="167" fontId="17" fillId="0" borderId="0" xfId="0" applyNumberFormat="1" applyFont="1"/>
    <xf numFmtId="1" fontId="17" fillId="0" borderId="0" xfId="0" applyNumberFormat="1" applyFont="1"/>
    <xf numFmtId="0" fontId="17" fillId="0" borderId="25" xfId="0" applyFont="1" applyBorder="1"/>
    <xf numFmtId="0" fontId="17" fillId="0" borderId="1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63" xfId="0" applyFont="1" applyFill="1" applyBorder="1" applyAlignment="1" applyProtection="1">
      <alignment horizontal="center" vertical="center"/>
    </xf>
    <xf numFmtId="0" fontId="12" fillId="0" borderId="57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2" fillId="0" borderId="58" xfId="0" applyFont="1" applyFill="1" applyBorder="1" applyAlignment="1" applyProtection="1">
      <alignment horizontal="left" vertical="center"/>
    </xf>
    <xf numFmtId="0" fontId="12" fillId="0" borderId="27" xfId="0" applyFont="1" applyFill="1" applyBorder="1" applyAlignment="1" applyProtection="1">
      <alignment horizontal="left" vertical="center" shrinkToFi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58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left" vertical="center"/>
    </xf>
    <xf numFmtId="0" fontId="32" fillId="0" borderId="0" xfId="0" applyFont="1" applyAlignment="1"/>
    <xf numFmtId="0" fontId="18" fillId="0" borderId="0" xfId="0" applyFont="1" applyAlignment="1"/>
    <xf numFmtId="0" fontId="17" fillId="11" borderId="0" xfId="0" applyFont="1" applyFill="1"/>
    <xf numFmtId="0" fontId="17" fillId="11" borderId="0" xfId="0" applyFont="1" applyFill="1" applyAlignment="1">
      <alignment horizontal="center"/>
    </xf>
    <xf numFmtId="0" fontId="17" fillId="0" borderId="6" xfId="0" applyFont="1" applyBorder="1" applyAlignment="1">
      <alignment horizontal="center"/>
    </xf>
    <xf numFmtId="168" fontId="17" fillId="0" borderId="1" xfId="2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11" borderId="1" xfId="0" applyNumberFormat="1" applyFont="1" applyFill="1" applyBorder="1" applyAlignment="1">
      <alignment horizontal="center"/>
    </xf>
    <xf numFmtId="0" fontId="12" fillId="0" borderId="16" xfId="0" applyFont="1" applyFill="1" applyBorder="1" applyAlignment="1" applyProtection="1">
      <alignment vertical="center"/>
    </xf>
    <xf numFmtId="0" fontId="12" fillId="0" borderId="3" xfId="0" applyFont="1" applyFill="1" applyBorder="1" applyAlignment="1" applyProtection="1">
      <alignment vertical="center"/>
    </xf>
    <xf numFmtId="0" fontId="12" fillId="0" borderId="57" xfId="0" applyFont="1" applyFill="1" applyBorder="1" applyAlignment="1" applyProtection="1">
      <alignment horizontal="left" vertical="center"/>
    </xf>
    <xf numFmtId="0" fontId="12" fillId="0" borderId="58" xfId="0" applyFont="1" applyBorder="1" applyAlignment="1" applyProtection="1">
      <alignment horizontal="left" vertical="center"/>
    </xf>
    <xf numFmtId="0" fontId="12" fillId="0" borderId="62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/>
    </xf>
    <xf numFmtId="0" fontId="12" fillId="0" borderId="44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left" vertical="center"/>
    </xf>
    <xf numFmtId="0" fontId="12" fillId="0" borderId="44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vertical="center"/>
    </xf>
    <xf numFmtId="0" fontId="12" fillId="0" borderId="44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horizontal="left"/>
    </xf>
    <xf numFmtId="0" fontId="12" fillId="0" borderId="45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horizontal="left" vertical="center"/>
    </xf>
    <xf numFmtId="0" fontId="12" fillId="0" borderId="57" xfId="0" applyFont="1" applyFill="1" applyBorder="1" applyAlignment="1" applyProtection="1">
      <alignment horizontal="left"/>
    </xf>
    <xf numFmtId="0" fontId="12" fillId="0" borderId="45" xfId="0" applyFont="1" applyFill="1" applyBorder="1" applyAlignment="1" applyProtection="1">
      <alignment horizontal="left" vertical="center"/>
    </xf>
    <xf numFmtId="0" fontId="12" fillId="0" borderId="58" xfId="0" applyFont="1" applyFill="1" applyBorder="1" applyAlignment="1" applyProtection="1">
      <alignment horizontal="left"/>
    </xf>
    <xf numFmtId="0" fontId="13" fillId="0" borderId="44" xfId="0" applyFont="1" applyFill="1" applyBorder="1" applyAlignment="1" applyProtection="1">
      <alignment horizontal="center" vertical="center"/>
    </xf>
    <xf numFmtId="0" fontId="14" fillId="0" borderId="45" xfId="0" applyFont="1" applyFill="1" applyBorder="1" applyAlignment="1" applyProtection="1">
      <alignment horizontal="center"/>
    </xf>
    <xf numFmtId="0" fontId="12" fillId="0" borderId="3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/>
    </xf>
    <xf numFmtId="0" fontId="14" fillId="0" borderId="62" xfId="0" applyFont="1" applyFill="1" applyBorder="1" applyAlignment="1" applyProtection="1">
      <alignment horizontal="center" vertical="center"/>
    </xf>
    <xf numFmtId="0" fontId="14" fillId="0" borderId="44" xfId="0" applyFont="1" applyFill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left"/>
    </xf>
    <xf numFmtId="0" fontId="13" fillId="0" borderId="18" xfId="0" applyFont="1" applyBorder="1" applyAlignment="1" applyProtection="1">
      <alignment horizontal="left"/>
    </xf>
    <xf numFmtId="0" fontId="13" fillId="0" borderId="62" xfId="0" applyFont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left" vertical="center" shrinkToFit="1"/>
    </xf>
    <xf numFmtId="0" fontId="12" fillId="0" borderId="44" xfId="0" applyFont="1" applyFill="1" applyBorder="1" applyAlignment="1" applyProtection="1">
      <alignment horizontal="left" vertical="center" shrinkToFit="1"/>
    </xf>
    <xf numFmtId="0" fontId="12" fillId="0" borderId="21" xfId="0" applyFont="1" applyFill="1" applyBorder="1" applyAlignment="1" applyProtection="1">
      <alignment horizontal="left" vertical="center" shrinkToFit="1"/>
    </xf>
    <xf numFmtId="0" fontId="12" fillId="0" borderId="3" xfId="0" applyFont="1" applyFill="1" applyBorder="1" applyAlignment="1" applyProtection="1">
      <alignment horizontal="left" vertical="center" shrinkToFit="1"/>
    </xf>
    <xf numFmtId="0" fontId="12" fillId="0" borderId="45" xfId="0" applyFont="1" applyFill="1" applyBorder="1" applyAlignment="1" applyProtection="1">
      <alignment horizontal="left" vertical="center" shrinkToFit="1"/>
    </xf>
    <xf numFmtId="0" fontId="13" fillId="0" borderId="58" xfId="0" applyFont="1" applyFill="1" applyBorder="1" applyAlignment="1" applyProtection="1">
      <alignment horizontal="center"/>
    </xf>
    <xf numFmtId="0" fontId="12" fillId="0" borderId="62" xfId="0" applyFont="1" applyBorder="1" applyAlignment="1" applyProtection="1">
      <alignment horizontal="left" vertical="center"/>
    </xf>
    <xf numFmtId="0" fontId="12" fillId="0" borderId="57" xfId="0" applyFont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2" fillId="0" borderId="57" xfId="0" applyFont="1" applyFill="1" applyBorder="1" applyAlignment="1" applyProtection="1">
      <alignment horizontal="left" vertical="center" shrinkToFit="1"/>
    </xf>
    <xf numFmtId="0" fontId="12" fillId="0" borderId="58" xfId="0" applyFont="1" applyFill="1" applyBorder="1" applyAlignment="1" applyProtection="1">
      <alignment horizontal="left" vertical="center" shrinkToFit="1"/>
    </xf>
    <xf numFmtId="0" fontId="12" fillId="0" borderId="62" xfId="0" applyFont="1" applyFill="1" applyBorder="1" applyAlignment="1" applyProtection="1">
      <alignment horizontal="left" vertical="center" shrinkToFit="1"/>
    </xf>
    <xf numFmtId="0" fontId="5" fillId="0" borderId="64" xfId="0" applyFont="1" applyBorder="1" applyAlignment="1" applyProtection="1"/>
    <xf numFmtId="0" fontId="5" fillId="0" borderId="64" xfId="0" applyFont="1" applyBorder="1" applyAlignment="1" applyProtection="1">
      <alignment horizontal="center"/>
    </xf>
    <xf numFmtId="0" fontId="12" fillId="0" borderId="64" xfId="0" applyFont="1" applyBorder="1" applyAlignment="1" applyProtection="1">
      <alignment horizontal="center"/>
    </xf>
    <xf numFmtId="0" fontId="13" fillId="0" borderId="18" xfId="0" applyFont="1" applyBorder="1" applyAlignment="1" applyProtection="1">
      <alignment horizontal="left" vertical="center"/>
    </xf>
    <xf numFmtId="0" fontId="14" fillId="0" borderId="44" xfId="0" applyFont="1" applyFill="1" applyBorder="1" applyAlignment="1" applyProtection="1">
      <alignment horizontal="center"/>
    </xf>
    <xf numFmtId="164" fontId="12" fillId="0" borderId="3" xfId="0" applyNumberFormat="1" applyFont="1" applyFill="1" applyBorder="1" applyAlignment="1" applyProtection="1">
      <alignment horizontal="center" vertical="center"/>
    </xf>
    <xf numFmtId="0" fontId="34" fillId="0" borderId="3" xfId="0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center"/>
    </xf>
    <xf numFmtId="0" fontId="12" fillId="0" borderId="18" xfId="0" applyFont="1" applyFill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44" xfId="0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left" vertical="center"/>
    </xf>
    <xf numFmtId="0" fontId="12" fillId="0" borderId="45" xfId="0" applyFont="1" applyBorder="1" applyAlignment="1" applyProtection="1">
      <alignment horizontal="left" vertical="center"/>
    </xf>
    <xf numFmtId="0" fontId="5" fillId="6" borderId="14" xfId="0" applyFont="1" applyFill="1" applyBorder="1" applyAlignment="1" applyProtection="1"/>
    <xf numFmtId="0" fontId="17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 wrapText="1"/>
    </xf>
    <xf numFmtId="0" fontId="12" fillId="0" borderId="16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74" xfId="0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 vertical="center" wrapText="1"/>
    </xf>
    <xf numFmtId="0" fontId="38" fillId="0" borderId="75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7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5" fillId="6" borderId="1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1" xfId="0" applyFont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0" fontId="39" fillId="0" borderId="1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/>
    </xf>
    <xf numFmtId="0" fontId="17" fillId="9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7" fillId="11" borderId="1" xfId="0" applyFont="1" applyFill="1" applyBorder="1" applyAlignment="1">
      <alignment horizontal="left"/>
    </xf>
    <xf numFmtId="0" fontId="17" fillId="11" borderId="1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left" vertical="justify"/>
    </xf>
    <xf numFmtId="0" fontId="17" fillId="11" borderId="6" xfId="0" applyFont="1" applyFill="1" applyBorder="1" applyAlignment="1">
      <alignment horizontal="left" vertical="justify"/>
    </xf>
    <xf numFmtId="0" fontId="13" fillId="0" borderId="0" xfId="0" applyFont="1" applyFill="1" applyBorder="1" applyAlignment="1" applyProtection="1">
      <alignment vertical="center" wrapText="1"/>
    </xf>
    <xf numFmtId="0" fontId="6" fillId="11" borderId="1" xfId="0" applyFont="1" applyFill="1" applyBorder="1" applyAlignment="1">
      <alignment horizontal="left" wrapText="1"/>
    </xf>
    <xf numFmtId="0" fontId="17" fillId="0" borderId="0" xfId="0" applyFont="1" applyFill="1" applyAlignment="1"/>
    <xf numFmtId="0" fontId="17" fillId="10" borderId="0" xfId="0" applyFont="1" applyFill="1" applyAlignment="1"/>
    <xf numFmtId="0" fontId="5" fillId="11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 vertical="center" wrapText="1"/>
    </xf>
    <xf numFmtId="0" fontId="4" fillId="11" borderId="71" xfId="0" applyFont="1" applyFill="1" applyBorder="1" applyAlignment="1">
      <alignment horizontal="center" vertical="center" wrapText="1"/>
    </xf>
    <xf numFmtId="0" fontId="4" fillId="11" borderId="72" xfId="0" applyFont="1" applyFill="1" applyBorder="1" applyAlignment="1">
      <alignment horizontal="center" vertical="center" wrapText="1"/>
    </xf>
    <xf numFmtId="0" fontId="4" fillId="11" borderId="73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 applyProtection="1">
      <alignment horizontal="center"/>
      <protection locked="0"/>
    </xf>
    <xf numFmtId="0" fontId="17" fillId="5" borderId="18" xfId="0" applyFont="1" applyFill="1" applyBorder="1" applyAlignment="1" applyProtection="1">
      <alignment horizontal="center"/>
      <protection locked="0"/>
    </xf>
    <xf numFmtId="0" fontId="17" fillId="5" borderId="20" xfId="0" applyFont="1" applyFill="1" applyBorder="1" applyAlignment="1" applyProtection="1">
      <alignment horizontal="center"/>
      <protection locked="0"/>
    </xf>
    <xf numFmtId="0" fontId="18" fillId="0" borderId="6" xfId="0" applyFont="1" applyFill="1" applyBorder="1" applyAlignment="1" applyProtection="1">
      <alignment horizontal="center"/>
    </xf>
    <xf numFmtId="0" fontId="18" fillId="0" borderId="26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right"/>
    </xf>
    <xf numFmtId="0" fontId="21" fillId="0" borderId="9" xfId="0" applyFont="1" applyFill="1" applyBorder="1" applyAlignment="1" applyProtection="1">
      <alignment horizontal="right"/>
    </xf>
    <xf numFmtId="0" fontId="17" fillId="5" borderId="17" xfId="0" applyNumberFormat="1" applyFont="1" applyFill="1" applyBorder="1" applyAlignment="1" applyProtection="1">
      <alignment horizontal="left"/>
      <protection locked="0"/>
    </xf>
    <xf numFmtId="0" fontId="17" fillId="5" borderId="18" xfId="0" applyNumberFormat="1" applyFont="1" applyFill="1" applyBorder="1" applyAlignment="1" applyProtection="1">
      <alignment horizontal="left"/>
      <protection locked="0"/>
    </xf>
    <xf numFmtId="0" fontId="17" fillId="5" borderId="20" xfId="0" applyNumberFormat="1" applyFont="1" applyFill="1" applyBorder="1" applyAlignment="1" applyProtection="1">
      <alignment horizontal="left"/>
      <protection locked="0"/>
    </xf>
    <xf numFmtId="0" fontId="24" fillId="8" borderId="17" xfId="0" applyFont="1" applyFill="1" applyBorder="1" applyAlignment="1" applyProtection="1">
      <alignment horizontal="center"/>
    </xf>
    <xf numFmtId="0" fontId="24" fillId="8" borderId="18" xfId="0" applyFont="1" applyFill="1" applyBorder="1" applyAlignment="1" applyProtection="1">
      <alignment horizontal="center"/>
    </xf>
    <xf numFmtId="0" fontId="24" fillId="8" borderId="20" xfId="0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left"/>
    </xf>
    <xf numFmtId="0" fontId="17" fillId="5" borderId="17" xfId="0" applyFont="1" applyFill="1" applyBorder="1" applyAlignment="1" applyProtection="1">
      <alignment horizontal="left"/>
      <protection locked="0"/>
    </xf>
    <xf numFmtId="0" fontId="17" fillId="5" borderId="18" xfId="0" applyFont="1" applyFill="1" applyBorder="1" applyAlignment="1" applyProtection="1">
      <alignment horizontal="left"/>
      <protection locked="0"/>
    </xf>
    <xf numFmtId="0" fontId="17" fillId="5" borderId="20" xfId="0" applyFont="1" applyFill="1" applyBorder="1" applyAlignment="1" applyProtection="1">
      <alignment horizontal="left"/>
      <protection locked="0"/>
    </xf>
    <xf numFmtId="0" fontId="18" fillId="8" borderId="6" xfId="0" applyFont="1" applyFill="1" applyBorder="1" applyAlignment="1">
      <alignment horizontal="center"/>
    </xf>
    <xf numFmtId="0" fontId="18" fillId="8" borderId="26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5" borderId="34" xfId="0" applyFont="1" applyFill="1" applyBorder="1" applyAlignment="1" applyProtection="1">
      <alignment horizontal="center"/>
      <protection locked="0"/>
    </xf>
    <xf numFmtId="0" fontId="17" fillId="5" borderId="32" xfId="0" applyFont="1" applyFill="1" applyBorder="1" applyAlignment="1" applyProtection="1">
      <alignment horizontal="center"/>
      <protection locked="0"/>
    </xf>
    <xf numFmtId="0" fontId="17" fillId="5" borderId="11" xfId="0" applyFont="1" applyFill="1" applyBorder="1" applyAlignment="1" applyProtection="1">
      <alignment horizontal="center"/>
      <protection locked="0"/>
    </xf>
    <xf numFmtId="0" fontId="5" fillId="8" borderId="39" xfId="0" applyFont="1" applyFill="1" applyBorder="1" applyAlignment="1">
      <alignment horizontal="center"/>
    </xf>
    <xf numFmtId="0" fontId="5" fillId="8" borderId="4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5" fillId="8" borderId="4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5" borderId="13" xfId="0" applyFont="1" applyFill="1" applyBorder="1" applyAlignment="1" applyProtection="1">
      <alignment horizontal="center"/>
      <protection locked="0"/>
    </xf>
    <xf numFmtId="0" fontId="17" fillId="5" borderId="26" xfId="0" applyFont="1" applyFill="1" applyBorder="1" applyAlignment="1" applyProtection="1">
      <alignment horizontal="center"/>
      <protection locked="0"/>
    </xf>
    <xf numFmtId="0" fontId="17" fillId="5" borderId="8" xfId="0" applyFont="1" applyFill="1" applyBorder="1" applyAlignment="1" applyProtection="1">
      <alignment horizontal="center"/>
      <protection locked="0"/>
    </xf>
    <xf numFmtId="0" fontId="17" fillId="0" borderId="48" xfId="0" applyFont="1" applyFill="1" applyBorder="1" applyAlignment="1">
      <alignment horizontal="center"/>
    </xf>
    <xf numFmtId="0" fontId="17" fillId="5" borderId="2" xfId="0" applyFont="1" applyFill="1" applyBorder="1" applyAlignment="1" applyProtection="1">
      <alignment horizontal="center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0" fontId="17" fillId="5" borderId="9" xfId="0" applyFont="1" applyFill="1" applyBorder="1" applyAlignment="1" applyProtection="1">
      <alignment horizontal="center"/>
      <protection locked="0"/>
    </xf>
    <xf numFmtId="0" fontId="5" fillId="8" borderId="38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5" borderId="43" xfId="0" applyFont="1" applyFill="1" applyBorder="1" applyAlignment="1" applyProtection="1">
      <alignment horizontal="center"/>
      <protection locked="0"/>
    </xf>
    <xf numFmtId="0" fontId="17" fillId="5" borderId="36" xfId="0" applyFont="1" applyFill="1" applyBorder="1" applyAlignment="1" applyProtection="1">
      <alignment horizontal="center"/>
      <protection locked="0"/>
    </xf>
    <xf numFmtId="0" fontId="17" fillId="5" borderId="41" xfId="0" applyFont="1" applyFill="1" applyBorder="1" applyAlignment="1" applyProtection="1">
      <alignment horizontal="center"/>
      <protection locked="0"/>
    </xf>
    <xf numFmtId="0" fontId="17" fillId="0" borderId="28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5" borderId="1" xfId="0" applyFont="1" applyFill="1" applyBorder="1" applyAlignment="1" applyProtection="1">
      <alignment horizontal="center"/>
      <protection locked="0"/>
    </xf>
    <xf numFmtId="0" fontId="17" fillId="5" borderId="49" xfId="0" applyFont="1" applyFill="1" applyBorder="1" applyAlignment="1" applyProtection="1">
      <alignment horizontal="center"/>
      <protection locked="0"/>
    </xf>
    <xf numFmtId="0" fontId="17" fillId="0" borderId="3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7" fillId="0" borderId="31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4" fillId="8" borderId="38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166" fontId="17" fillId="0" borderId="17" xfId="0" applyNumberFormat="1" applyFont="1" applyBorder="1" applyAlignment="1">
      <alignment horizontal="center"/>
    </xf>
    <xf numFmtId="166" fontId="17" fillId="0" borderId="18" xfId="0" applyNumberFormat="1" applyFont="1" applyBorder="1" applyAlignment="1">
      <alignment horizontal="center"/>
    </xf>
    <xf numFmtId="166" fontId="17" fillId="0" borderId="20" xfId="0" applyNumberFormat="1" applyFont="1" applyBorder="1" applyAlignment="1">
      <alignment horizontal="center"/>
    </xf>
    <xf numFmtId="0" fontId="24" fillId="10" borderId="17" xfId="0" applyFont="1" applyFill="1" applyBorder="1" applyAlignment="1" applyProtection="1">
      <alignment horizontal="center"/>
    </xf>
    <xf numFmtId="0" fontId="24" fillId="10" borderId="18" xfId="0" applyFont="1" applyFill="1" applyBorder="1" applyAlignment="1" applyProtection="1">
      <alignment horizontal="center"/>
    </xf>
    <xf numFmtId="0" fontId="12" fillId="5" borderId="30" xfId="0" applyFont="1" applyFill="1" applyBorder="1" applyAlignment="1" applyProtection="1">
      <alignment horizontal="left"/>
      <protection locked="0"/>
    </xf>
    <xf numFmtId="0" fontId="12" fillId="5" borderId="1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4" xfId="0" applyFont="1" applyFill="1" applyBorder="1" applyAlignment="1" applyProtection="1">
      <alignment horizontal="center"/>
      <protection locked="0"/>
    </xf>
    <xf numFmtId="0" fontId="17" fillId="5" borderId="35" xfId="0" applyFont="1" applyFill="1" applyBorder="1" applyAlignment="1" applyProtection="1">
      <alignment horizontal="center"/>
      <protection locked="0"/>
    </xf>
    <xf numFmtId="0" fontId="5" fillId="8" borderId="57" xfId="0" applyFont="1" applyFill="1" applyBorder="1" applyAlignment="1">
      <alignment horizontal="center" vertical="center" wrapText="1"/>
    </xf>
    <xf numFmtId="0" fontId="5" fillId="8" borderId="58" xfId="0" applyFont="1" applyFill="1" applyBorder="1" applyAlignment="1">
      <alignment horizontal="center" vertical="center" wrapText="1"/>
    </xf>
    <xf numFmtId="0" fontId="5" fillId="8" borderId="59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7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/>
    </xf>
    <xf numFmtId="0" fontId="5" fillId="8" borderId="51" xfId="0" applyFont="1" applyFill="1" applyBorder="1" applyAlignment="1">
      <alignment horizontal="center"/>
    </xf>
    <xf numFmtId="0" fontId="5" fillId="8" borderId="53" xfId="0" applyFont="1" applyFill="1" applyBorder="1" applyAlignment="1">
      <alignment horizontal="center"/>
    </xf>
    <xf numFmtId="0" fontId="5" fillId="5" borderId="50" xfId="0" applyFont="1" applyFill="1" applyBorder="1" applyAlignment="1" applyProtection="1">
      <alignment horizontal="center"/>
      <protection locked="0"/>
    </xf>
    <xf numFmtId="0" fontId="5" fillId="5" borderId="51" xfId="0" applyFont="1" applyFill="1" applyBorder="1" applyAlignment="1" applyProtection="1">
      <alignment horizontal="center"/>
      <protection locked="0"/>
    </xf>
    <xf numFmtId="0" fontId="5" fillId="5" borderId="52" xfId="0" applyFont="1" applyFill="1" applyBorder="1" applyAlignment="1" applyProtection="1">
      <alignment horizontal="center"/>
      <protection locked="0"/>
    </xf>
    <xf numFmtId="0" fontId="5" fillId="8" borderId="54" xfId="0" applyFont="1" applyFill="1" applyBorder="1" applyAlignment="1">
      <alignment horizontal="center"/>
    </xf>
    <xf numFmtId="0" fontId="5" fillId="8" borderId="52" xfId="0" applyFont="1" applyFill="1" applyBorder="1" applyAlignment="1">
      <alignment horizontal="center"/>
    </xf>
    <xf numFmtId="0" fontId="17" fillId="5" borderId="21" xfId="0" applyFont="1" applyFill="1" applyBorder="1" applyAlignment="1" applyProtection="1">
      <alignment horizontal="center"/>
      <protection locked="0"/>
    </xf>
    <xf numFmtId="0" fontId="17" fillId="5" borderId="3" xfId="0" applyFont="1" applyFill="1" applyBorder="1" applyAlignment="1" applyProtection="1">
      <alignment horizontal="center"/>
      <protection locked="0"/>
    </xf>
    <xf numFmtId="0" fontId="17" fillId="5" borderId="45" xfId="0" applyFont="1" applyFill="1" applyBorder="1" applyAlignment="1" applyProtection="1">
      <alignment horizontal="center"/>
      <protection locked="0"/>
    </xf>
    <xf numFmtId="0" fontId="12" fillId="5" borderId="61" xfId="0" applyFont="1" applyFill="1" applyBorder="1" applyAlignment="1" applyProtection="1">
      <alignment horizontal="left"/>
      <protection locked="0"/>
    </xf>
    <xf numFmtId="0" fontId="12" fillId="5" borderId="46" xfId="0" applyFont="1" applyFill="1" applyBorder="1" applyAlignment="1" applyProtection="1">
      <alignment horizontal="left"/>
      <protection locked="0"/>
    </xf>
    <xf numFmtId="0" fontId="5" fillId="5" borderId="46" xfId="0" applyFont="1" applyFill="1" applyBorder="1" applyAlignment="1" applyProtection="1">
      <alignment horizontal="center"/>
      <protection locked="0"/>
    </xf>
    <xf numFmtId="0" fontId="5" fillId="5" borderId="29" xfId="0" applyFont="1" applyFill="1" applyBorder="1" applyAlignment="1" applyProtection="1">
      <alignment horizontal="center"/>
      <protection locked="0"/>
    </xf>
    <xf numFmtId="0" fontId="18" fillId="8" borderId="38" xfId="0" applyFont="1" applyFill="1" applyBorder="1" applyAlignment="1">
      <alignment horizontal="center"/>
    </xf>
    <xf numFmtId="0" fontId="18" fillId="8" borderId="18" xfId="0" applyFont="1" applyFill="1" applyBorder="1" applyAlignment="1">
      <alignment horizontal="center"/>
    </xf>
    <xf numFmtId="0" fontId="18" fillId="8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35" xfId="0" applyFont="1" applyFill="1" applyBorder="1" applyAlignment="1" applyProtection="1">
      <alignment horizontal="center" vertical="center"/>
      <protection locked="0"/>
    </xf>
    <xf numFmtId="0" fontId="12" fillId="5" borderId="36" xfId="0" applyFont="1" applyFill="1" applyBorder="1" applyAlignment="1" applyProtection="1">
      <alignment horizontal="center" vertical="center"/>
      <protection locked="0"/>
    </xf>
    <xf numFmtId="0" fontId="12" fillId="5" borderId="41" xfId="0" applyFont="1" applyFill="1" applyBorder="1" applyAlignment="1" applyProtection="1">
      <alignment horizontal="center" vertical="center"/>
      <protection locked="0"/>
    </xf>
    <xf numFmtId="0" fontId="5" fillId="8" borderId="56" xfId="0" applyFont="1" applyFill="1" applyBorder="1" applyAlignment="1">
      <alignment horizontal="center"/>
    </xf>
    <xf numFmtId="0" fontId="5" fillId="5" borderId="30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26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5" fillId="5" borderId="35" xfId="0" applyFont="1" applyFill="1" applyBorder="1" applyAlignment="1" applyProtection="1">
      <alignment horizontal="center"/>
      <protection locked="0"/>
    </xf>
    <xf numFmtId="0" fontId="5" fillId="5" borderId="36" xfId="0" applyFont="1" applyFill="1" applyBorder="1" applyAlignment="1" applyProtection="1">
      <alignment horizontal="center"/>
      <protection locked="0"/>
    </xf>
    <xf numFmtId="0" fontId="5" fillId="5" borderId="41" xfId="0" applyFont="1" applyFill="1" applyBorder="1" applyAlignment="1" applyProtection="1">
      <alignment horizontal="center"/>
      <protection locked="0"/>
    </xf>
    <xf numFmtId="0" fontId="5" fillId="5" borderId="49" xfId="0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17" fillId="5" borderId="25" xfId="0" applyFont="1" applyFill="1" applyBorder="1" applyAlignment="1" applyProtection="1">
      <alignment horizontal="center"/>
      <protection locked="0"/>
    </xf>
    <xf numFmtId="0" fontId="17" fillId="0" borderId="60" xfId="0" applyFont="1" applyFill="1" applyBorder="1" applyAlignment="1">
      <alignment horizontal="left"/>
    </xf>
    <xf numFmtId="0" fontId="17" fillId="0" borderId="25" xfId="0" applyFont="1" applyFill="1" applyBorder="1" applyAlignment="1">
      <alignment horizontal="left"/>
    </xf>
    <xf numFmtId="0" fontId="4" fillId="8" borderId="20" xfId="0" applyFont="1" applyFill="1" applyBorder="1" applyAlignment="1">
      <alignment horizontal="center"/>
    </xf>
    <xf numFmtId="0" fontId="5" fillId="5" borderId="43" xfId="0" applyFont="1" applyFill="1" applyBorder="1" applyAlignment="1" applyProtection="1">
      <alignment horizontal="left"/>
      <protection locked="0"/>
    </xf>
    <xf numFmtId="0" fontId="5" fillId="5" borderId="36" xfId="0" applyFont="1" applyFill="1" applyBorder="1" applyAlignment="1" applyProtection="1">
      <alignment horizontal="left"/>
      <protection locked="0"/>
    </xf>
    <xf numFmtId="0" fontId="5" fillId="5" borderId="41" xfId="0" applyFont="1" applyFill="1" applyBorder="1" applyAlignment="1" applyProtection="1">
      <alignment horizontal="left"/>
      <protection locked="0"/>
    </xf>
    <xf numFmtId="164" fontId="5" fillId="5" borderId="35" xfId="0" applyNumberFormat="1" applyFont="1" applyFill="1" applyBorder="1" applyAlignment="1" applyProtection="1">
      <alignment horizontal="center"/>
      <protection locked="0"/>
    </xf>
    <xf numFmtId="164" fontId="5" fillId="5" borderId="36" xfId="0" applyNumberFormat="1" applyFont="1" applyFill="1" applyBorder="1" applyAlignment="1" applyProtection="1">
      <alignment horizontal="center"/>
      <protection locked="0"/>
    </xf>
    <xf numFmtId="164" fontId="5" fillId="5" borderId="37" xfId="0" applyNumberFormat="1" applyFont="1" applyFill="1" applyBorder="1" applyAlignment="1" applyProtection="1">
      <alignment horizontal="center"/>
      <protection locked="0"/>
    </xf>
    <xf numFmtId="0" fontId="5" fillId="5" borderId="13" xfId="0" applyFont="1" applyFill="1" applyBorder="1" applyAlignment="1" applyProtection="1">
      <alignment horizontal="left"/>
      <protection locked="0"/>
    </xf>
    <xf numFmtId="0" fontId="5" fillId="5" borderId="26" xfId="0" applyFont="1" applyFill="1" applyBorder="1" applyAlignment="1" applyProtection="1">
      <alignment horizontal="left"/>
      <protection locked="0"/>
    </xf>
    <xf numFmtId="0" fontId="5" fillId="5" borderId="8" xfId="0" applyFont="1" applyFill="1" applyBorder="1" applyAlignment="1" applyProtection="1">
      <alignment horizontal="left"/>
      <protection locked="0"/>
    </xf>
    <xf numFmtId="0" fontId="13" fillId="8" borderId="17" xfId="0" applyFont="1" applyFill="1" applyBorder="1" applyAlignment="1">
      <alignment horizontal="left"/>
    </xf>
    <xf numFmtId="0" fontId="13" fillId="8" borderId="18" xfId="0" applyFont="1" applyFill="1" applyBorder="1" applyAlignment="1">
      <alignment horizontal="left"/>
    </xf>
    <xf numFmtId="0" fontId="13" fillId="8" borderId="19" xfId="0" applyFont="1" applyFill="1" applyBorder="1" applyAlignment="1">
      <alignment horizontal="left"/>
    </xf>
    <xf numFmtId="0" fontId="12" fillId="8" borderId="39" xfId="0" applyFont="1" applyFill="1" applyBorder="1" applyAlignment="1">
      <alignment horizontal="center"/>
    </xf>
    <xf numFmtId="0" fontId="12" fillId="8" borderId="40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164" fontId="5" fillId="5" borderId="6" xfId="0" applyNumberFormat="1" applyFont="1" applyFill="1" applyBorder="1" applyAlignment="1" applyProtection="1">
      <alignment horizontal="center"/>
      <protection locked="0"/>
    </xf>
    <xf numFmtId="164" fontId="5" fillId="5" borderId="26" xfId="0" applyNumberFormat="1" applyFont="1" applyFill="1" applyBorder="1" applyAlignment="1" applyProtection="1">
      <alignment horizontal="center"/>
      <protection locked="0"/>
    </xf>
    <xf numFmtId="164" fontId="5" fillId="5" borderId="55" xfId="0" applyNumberFormat="1" applyFont="1" applyFill="1" applyBorder="1" applyAlignment="1" applyProtection="1">
      <alignment horizontal="center"/>
      <protection locked="0"/>
    </xf>
    <xf numFmtId="0" fontId="5" fillId="5" borderId="53" xfId="0" applyFont="1" applyFill="1" applyBorder="1" applyAlignment="1" applyProtection="1">
      <alignment horizontal="center"/>
      <protection locked="0"/>
    </xf>
    <xf numFmtId="0" fontId="18" fillId="8" borderId="19" xfId="0" applyFont="1" applyFill="1" applyBorder="1" applyAlignment="1">
      <alignment horizontal="center"/>
    </xf>
    <xf numFmtId="0" fontId="5" fillId="5" borderId="31" xfId="0" applyFont="1" applyFill="1" applyBorder="1" applyAlignment="1" applyProtection="1">
      <alignment horizontal="left"/>
      <protection locked="0"/>
    </xf>
    <xf numFmtId="0" fontId="5" fillId="5" borderId="49" xfId="0" applyFont="1" applyFill="1" applyBorder="1" applyAlignment="1" applyProtection="1">
      <alignment horizontal="left"/>
      <protection locked="0"/>
    </xf>
    <xf numFmtId="0" fontId="22" fillId="8" borderId="17" xfId="0" applyFont="1" applyFill="1" applyBorder="1" applyAlignment="1" applyProtection="1">
      <alignment horizontal="center"/>
    </xf>
    <xf numFmtId="0" fontId="22" fillId="8" borderId="18" xfId="0" applyFont="1" applyFill="1" applyBorder="1" applyAlignment="1" applyProtection="1">
      <alignment horizontal="center"/>
    </xf>
    <xf numFmtId="0" fontId="22" fillId="8" borderId="20" xfId="0" applyFont="1" applyFill="1" applyBorder="1" applyAlignment="1" applyProtection="1">
      <alignment horizontal="center"/>
    </xf>
    <xf numFmtId="0" fontId="5" fillId="0" borderId="61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8" borderId="40" xfId="0" applyFont="1" applyFill="1" applyBorder="1" applyAlignment="1" applyProtection="1">
      <alignment horizontal="center"/>
    </xf>
    <xf numFmtId="0" fontId="5" fillId="5" borderId="25" xfId="0" applyFont="1" applyFill="1" applyBorder="1" applyAlignment="1" applyProtection="1">
      <alignment horizontal="center"/>
      <protection locked="0"/>
    </xf>
    <xf numFmtId="0" fontId="5" fillId="0" borderId="60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8" borderId="39" xfId="0" applyFont="1" applyFill="1" applyBorder="1" applyAlignment="1" applyProtection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8" borderId="42" xfId="0" applyFont="1" applyFill="1" applyBorder="1" applyAlignment="1" applyProtection="1">
      <alignment horizontal="center"/>
    </xf>
    <xf numFmtId="0" fontId="5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8" xfId="0" applyFont="1" applyBorder="1" applyAlignment="1"/>
    <xf numFmtId="0" fontId="5" fillId="0" borderId="4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20" xfId="0" applyFont="1" applyBorder="1" applyAlignment="1"/>
    <xf numFmtId="0" fontId="26" fillId="8" borderId="57" xfId="0" applyFont="1" applyFill="1" applyBorder="1" applyAlignment="1">
      <alignment horizontal="center"/>
    </xf>
    <xf numFmtId="0" fontId="26" fillId="8" borderId="62" xfId="0" applyFont="1" applyFill="1" applyBorder="1" applyAlignment="1">
      <alignment horizontal="center"/>
    </xf>
    <xf numFmtId="0" fontId="26" fillId="8" borderId="2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2" fillId="8" borderId="2" xfId="0" applyFont="1" applyFill="1" applyBorder="1" applyAlignment="1">
      <alignment horizontal="center"/>
    </xf>
    <xf numFmtId="0" fontId="22" fillId="8" borderId="0" xfId="0" applyFont="1" applyFill="1" applyBorder="1" applyAlignment="1">
      <alignment horizontal="center"/>
    </xf>
    <xf numFmtId="0" fontId="12" fillId="0" borderId="67" xfId="0" applyFont="1" applyFill="1" applyBorder="1" applyAlignment="1" applyProtection="1">
      <alignment horizontal="left" vertical="center"/>
    </xf>
    <xf numFmtId="0" fontId="12" fillId="0" borderId="63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left"/>
    </xf>
    <xf numFmtId="0" fontId="12" fillId="0" borderId="18" xfId="0" applyFont="1" applyBorder="1" applyAlignment="1" applyProtection="1">
      <alignment horizontal="left"/>
    </xf>
    <xf numFmtId="0" fontId="34" fillId="12" borderId="17" xfId="0" applyFont="1" applyFill="1" applyBorder="1" applyAlignment="1" applyProtection="1">
      <alignment horizontal="center" vertical="center"/>
    </xf>
    <xf numFmtId="0" fontId="34" fillId="12" borderId="18" xfId="0" applyFont="1" applyFill="1" applyBorder="1" applyAlignment="1" applyProtection="1">
      <alignment horizontal="center" vertical="center"/>
    </xf>
    <xf numFmtId="0" fontId="34" fillId="12" borderId="20" xfId="0" applyFont="1" applyFill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27" xfId="0" applyFont="1" applyFill="1" applyBorder="1" applyAlignment="1" applyProtection="1">
      <alignment horizontal="center" vertical="center"/>
    </xf>
    <xf numFmtId="0" fontId="13" fillId="0" borderId="58" xfId="0" applyFont="1" applyFill="1" applyBorder="1" applyAlignment="1" applyProtection="1">
      <alignment horizontal="center" vertical="center"/>
    </xf>
    <xf numFmtId="0" fontId="34" fillId="12" borderId="57" xfId="0" applyFont="1" applyFill="1" applyBorder="1" applyAlignment="1" applyProtection="1">
      <alignment horizontal="center" vertical="center" shrinkToFit="1"/>
    </xf>
    <xf numFmtId="0" fontId="34" fillId="12" borderId="58" xfId="0" applyFont="1" applyFill="1" applyBorder="1" applyAlignment="1" applyProtection="1">
      <alignment horizontal="center" vertical="center" shrinkToFit="1"/>
    </xf>
    <xf numFmtId="0" fontId="34" fillId="12" borderId="62" xfId="0" applyFont="1" applyFill="1" applyBorder="1" applyAlignment="1" applyProtection="1">
      <alignment horizontal="center" vertical="center" shrinkToFit="1"/>
    </xf>
    <xf numFmtId="0" fontId="34" fillId="12" borderId="21" xfId="0" applyFont="1" applyFill="1" applyBorder="1" applyAlignment="1" applyProtection="1">
      <alignment horizontal="center" vertical="center" shrinkToFit="1"/>
    </xf>
    <xf numFmtId="0" fontId="34" fillId="12" borderId="3" xfId="0" applyFont="1" applyFill="1" applyBorder="1" applyAlignment="1" applyProtection="1">
      <alignment horizontal="center" vertical="center" shrinkToFit="1"/>
    </xf>
    <xf numFmtId="0" fontId="34" fillId="12" borderId="45" xfId="0" applyFont="1" applyFill="1" applyBorder="1" applyAlignment="1" applyProtection="1">
      <alignment horizontal="center" vertical="center" shrinkToFit="1"/>
    </xf>
    <xf numFmtId="0" fontId="12" fillId="0" borderId="27" xfId="0" applyFont="1" applyFill="1" applyBorder="1" applyAlignment="1" applyProtection="1">
      <alignment horizontal="left" vertical="center" shrinkToFit="1"/>
    </xf>
    <xf numFmtId="0" fontId="5" fillId="0" borderId="27" xfId="0" applyFont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 shrinkToFit="1"/>
    </xf>
    <xf numFmtId="0" fontId="12" fillId="0" borderId="63" xfId="0" applyFont="1" applyFill="1" applyBorder="1" applyAlignment="1" applyProtection="1">
      <alignment horizontal="center" vertical="center"/>
    </xf>
    <xf numFmtId="164" fontId="12" fillId="0" borderId="27" xfId="0" applyNumberFormat="1" applyFont="1" applyFill="1" applyBorder="1" applyAlignment="1" applyProtection="1">
      <alignment horizontal="center" vertical="center"/>
    </xf>
    <xf numFmtId="164" fontId="12" fillId="0" borderId="63" xfId="0" applyNumberFormat="1" applyFont="1" applyFill="1" applyBorder="1" applyAlignment="1" applyProtection="1">
      <alignment horizontal="center" vertical="center"/>
    </xf>
    <xf numFmtId="0" fontId="13" fillId="0" borderId="67" xfId="0" applyFont="1" applyFill="1" applyBorder="1" applyAlignment="1" applyProtection="1">
      <alignment horizontal="left" vertical="center"/>
    </xf>
    <xf numFmtId="0" fontId="12" fillId="0" borderId="17" xfId="0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</xf>
    <xf numFmtId="0" fontId="12" fillId="0" borderId="20" xfId="0" applyFont="1" applyFill="1" applyBorder="1" applyAlignment="1" applyProtection="1">
      <alignment horizontal="center" vertical="center" shrinkToFit="1"/>
    </xf>
    <xf numFmtId="0" fontId="12" fillId="0" borderId="58" xfId="0" applyFont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/>
    </xf>
    <xf numFmtId="0" fontId="5" fillId="0" borderId="58" xfId="0" applyFont="1" applyBorder="1" applyAlignment="1" applyProtection="1">
      <alignment horizontal="center" vertical="center"/>
    </xf>
    <xf numFmtId="0" fontId="12" fillId="0" borderId="64" xfId="0" applyFont="1" applyFill="1" applyBorder="1" applyAlignment="1" applyProtection="1">
      <alignment horizontal="center" vertical="center" shrinkToFit="1"/>
    </xf>
    <xf numFmtId="0" fontId="12" fillId="0" borderId="63" xfId="0" applyFont="1" applyFill="1" applyBorder="1" applyAlignment="1" applyProtection="1">
      <alignment horizontal="center" vertical="center" shrinkToFit="1"/>
    </xf>
    <xf numFmtId="0" fontId="12" fillId="0" borderId="63" xfId="0" applyFont="1" applyFill="1" applyBorder="1" applyAlignment="1" applyProtection="1">
      <alignment horizontal="left" vertical="center" shrinkToFit="1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67" xfId="0" applyFont="1" applyFill="1" applyBorder="1" applyAlignment="1" applyProtection="1">
      <alignment horizontal="center" vertical="center" shrinkToFit="1"/>
    </xf>
    <xf numFmtId="0" fontId="12" fillId="0" borderId="63" xfId="0" applyFont="1" applyBorder="1" applyAlignment="1" applyProtection="1">
      <alignment horizontal="left" vertical="center" shrinkToFit="1"/>
    </xf>
    <xf numFmtId="0" fontId="12" fillId="0" borderId="64" xfId="0" applyFont="1" applyFill="1" applyBorder="1" applyAlignment="1" applyProtection="1">
      <alignment horizontal="left" vertical="center" shrinkToFit="1"/>
    </xf>
    <xf numFmtId="0" fontId="12" fillId="0" borderId="3" xfId="0" applyFont="1" applyFill="1" applyBorder="1" applyAlignment="1" applyProtection="1">
      <alignment horizontal="center" vertical="center" shrinkToFit="1"/>
    </xf>
    <xf numFmtId="0" fontId="12" fillId="0" borderId="63" xfId="0" applyFont="1" applyBorder="1" applyAlignment="1" applyProtection="1">
      <alignment horizontal="center" vertical="center" shrinkToFit="1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horizontal="left" vertical="center" shrinkToFit="1"/>
    </xf>
    <xf numFmtId="0" fontId="13" fillId="0" borderId="3" xfId="0" applyFont="1" applyBorder="1" applyAlignment="1" applyProtection="1">
      <alignment horizontal="left" vertical="center" shrinkToFit="1"/>
    </xf>
    <xf numFmtId="0" fontId="12" fillId="0" borderId="64" xfId="0" applyFont="1" applyBorder="1" applyAlignment="1" applyProtection="1">
      <alignment horizontal="center" vertical="center" shrinkToFit="1"/>
    </xf>
    <xf numFmtId="0" fontId="12" fillId="0" borderId="64" xfId="0" applyFont="1" applyBorder="1" applyAlignment="1" applyProtection="1">
      <alignment horizontal="left" vertical="center" shrinkToFit="1"/>
    </xf>
    <xf numFmtId="0" fontId="12" fillId="0" borderId="0" xfId="0" applyFont="1" applyFill="1" applyBorder="1" applyAlignment="1" applyProtection="1">
      <alignment horizontal="left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7" xfId="0" applyFont="1" applyFill="1" applyBorder="1" applyAlignment="1" applyProtection="1">
      <alignment horizontal="left" vertical="center" shrinkToFit="1"/>
    </xf>
    <xf numFmtId="0" fontId="13" fillId="0" borderId="58" xfId="0" applyFont="1" applyFill="1" applyBorder="1" applyAlignment="1" applyProtection="1">
      <alignment horizontal="center"/>
    </xf>
    <xf numFmtId="0" fontId="13" fillId="0" borderId="58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left" vertical="center" shrinkToFit="1"/>
    </xf>
    <xf numFmtId="0" fontId="12" fillId="0" borderId="67" xfId="0" applyFont="1" applyFill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0" fontId="12" fillId="0" borderId="58" xfId="0" applyFont="1" applyFill="1" applyBorder="1" applyAlignment="1" applyProtection="1">
      <alignment horizontal="left" vertical="center"/>
    </xf>
    <xf numFmtId="0" fontId="35" fillId="12" borderId="57" xfId="0" applyFont="1" applyFill="1" applyBorder="1" applyAlignment="1" applyProtection="1">
      <alignment horizontal="center" vertical="center"/>
    </xf>
    <xf numFmtId="0" fontId="35" fillId="12" borderId="58" xfId="0" applyFont="1" applyFill="1" applyBorder="1" applyAlignment="1" applyProtection="1">
      <alignment horizontal="center" vertical="center"/>
    </xf>
    <xf numFmtId="0" fontId="35" fillId="12" borderId="62" xfId="0" applyFont="1" applyFill="1" applyBorder="1" applyAlignment="1" applyProtection="1">
      <alignment horizontal="center" vertical="center"/>
    </xf>
    <xf numFmtId="0" fontId="35" fillId="12" borderId="2" xfId="0" applyFont="1" applyFill="1" applyBorder="1" applyAlignment="1" applyProtection="1">
      <alignment horizontal="center" vertical="center"/>
    </xf>
    <xf numFmtId="0" fontId="35" fillId="12" borderId="0" xfId="0" applyFont="1" applyFill="1" applyBorder="1" applyAlignment="1" applyProtection="1">
      <alignment horizontal="center" vertical="center"/>
    </xf>
    <xf numFmtId="0" fontId="35" fillId="12" borderId="44" xfId="0" applyFont="1" applyFill="1" applyBorder="1" applyAlignment="1" applyProtection="1">
      <alignment horizontal="center" vertical="center"/>
    </xf>
    <xf numFmtId="164" fontId="35" fillId="12" borderId="57" xfId="0" applyNumberFormat="1" applyFont="1" applyFill="1" applyBorder="1" applyAlignment="1" applyProtection="1">
      <alignment horizontal="center" vertical="center"/>
    </xf>
    <xf numFmtId="164" fontId="35" fillId="12" borderId="58" xfId="0" applyNumberFormat="1" applyFont="1" applyFill="1" applyBorder="1" applyAlignment="1" applyProtection="1">
      <alignment horizontal="center" vertical="center"/>
    </xf>
    <xf numFmtId="0" fontId="36" fillId="12" borderId="58" xfId="0" applyFont="1" applyFill="1" applyBorder="1" applyAlignment="1">
      <alignment horizontal="center" vertical="center"/>
    </xf>
    <xf numFmtId="0" fontId="36" fillId="12" borderId="62" xfId="0" applyFont="1" applyFill="1" applyBorder="1" applyAlignment="1">
      <alignment horizontal="center" vertical="center"/>
    </xf>
    <xf numFmtId="0" fontId="36" fillId="12" borderId="2" xfId="0" applyFont="1" applyFill="1" applyBorder="1" applyAlignment="1">
      <alignment horizontal="center" vertical="center"/>
    </xf>
    <xf numFmtId="0" fontId="36" fillId="12" borderId="0" xfId="0" applyFont="1" applyFill="1" applyBorder="1" applyAlignment="1">
      <alignment horizontal="center" vertical="center"/>
    </xf>
    <xf numFmtId="0" fontId="36" fillId="12" borderId="44" xfId="0" applyFont="1" applyFill="1" applyBorder="1" applyAlignment="1">
      <alignment horizontal="center" vertical="center"/>
    </xf>
    <xf numFmtId="0" fontId="12" fillId="0" borderId="68" xfId="0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</xf>
    <xf numFmtId="0" fontId="12" fillId="0" borderId="69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 applyProtection="1">
      <alignment horizontal="center" vertical="center"/>
    </xf>
    <xf numFmtId="0" fontId="12" fillId="0" borderId="37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left"/>
    </xf>
    <xf numFmtId="0" fontId="34" fillId="12" borderId="57" xfId="0" applyFont="1" applyFill="1" applyBorder="1" applyAlignment="1" applyProtection="1">
      <alignment horizontal="center" vertical="center"/>
    </xf>
    <xf numFmtId="0" fontId="34" fillId="12" borderId="58" xfId="0" applyFont="1" applyFill="1" applyBorder="1" applyAlignment="1" applyProtection="1">
      <alignment horizontal="center" vertical="center"/>
    </xf>
    <xf numFmtId="0" fontId="34" fillId="12" borderId="62" xfId="0" applyFont="1" applyFill="1" applyBorder="1" applyAlignment="1" applyProtection="1">
      <alignment horizontal="center" vertical="center"/>
    </xf>
    <xf numFmtId="0" fontId="34" fillId="12" borderId="21" xfId="0" applyFont="1" applyFill="1" applyBorder="1" applyAlignment="1" applyProtection="1">
      <alignment horizontal="center" vertical="center"/>
    </xf>
    <xf numFmtId="0" fontId="34" fillId="12" borderId="3" xfId="0" applyFont="1" applyFill="1" applyBorder="1" applyAlignment="1" applyProtection="1">
      <alignment horizontal="center" vertical="center"/>
    </xf>
    <xf numFmtId="0" fontId="34" fillId="12" borderId="45" xfId="0" applyFont="1" applyFill="1" applyBorder="1" applyAlignment="1" applyProtection="1">
      <alignment horizontal="center" vertical="center"/>
    </xf>
    <xf numFmtId="0" fontId="40" fillId="0" borderId="0" xfId="0" applyFont="1"/>
    <xf numFmtId="0" fontId="5" fillId="0" borderId="50" xfId="0" applyFont="1" applyFill="1" applyBorder="1" applyAlignment="1" applyProtection="1">
      <alignment horizontal="center"/>
    </xf>
    <xf numFmtId="0" fontId="5" fillId="0" borderId="51" xfId="0" applyFont="1" applyFill="1" applyBorder="1" applyAlignment="1" applyProtection="1">
      <alignment horizontal="center"/>
    </xf>
    <xf numFmtId="0" fontId="5" fillId="0" borderId="52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</cellXfs>
  <cellStyles count="3">
    <cellStyle name="Hiperlink" xfId="1" builtinId="8"/>
    <cellStyle name="Normal" xfId="0" builtinId="0"/>
    <cellStyle name="Vírgula" xfId="2" builtinId="3"/>
  </cellStyles>
  <dxfs count="8">
    <dxf>
      <font>
        <condense val="0"/>
        <extend val="0"/>
        <color indexed="1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26277</xdr:colOff>
      <xdr:row>0</xdr:row>
      <xdr:rowOff>52552</xdr:rowOff>
    </xdr:from>
    <xdr:to>
      <xdr:col>92</xdr:col>
      <xdr:colOff>147148</xdr:colOff>
      <xdr:row>5</xdr:row>
      <xdr:rowOff>93943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78" r="-2409"/>
        <a:stretch/>
      </xdr:blipFill>
      <xdr:spPr>
        <a:xfrm>
          <a:off x="2349063" y="52552"/>
          <a:ext cx="2827285" cy="8191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gmar%20-%20Ficha%20Automatizada%202.3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cterísticas"/>
      <sheetName val="Habilidades"/>
      <sheetName val="Combate"/>
      <sheetName val="Magias"/>
      <sheetName val="Pertences"/>
      <sheetName val="Ficha"/>
    </sheetNames>
    <sheetDataSet>
      <sheetData sheetId="0"/>
      <sheetData sheetId="1"/>
      <sheetData sheetId="2"/>
      <sheetData sheetId="3"/>
      <sheetData sheetId="4"/>
      <sheetData sheetId="5">
        <row r="11">
          <cell r="N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I46"/>
  <sheetViews>
    <sheetView workbookViewId="0">
      <selection activeCell="C11" sqref="C11:E11"/>
    </sheetView>
  </sheetViews>
  <sheetFormatPr defaultColWidth="9.21875" defaultRowHeight="12.6" x14ac:dyDescent="0.2"/>
  <cols>
    <col min="1" max="1" width="2.21875" style="150" customWidth="1"/>
    <col min="2" max="2" width="15.21875" style="191" customWidth="1"/>
    <col min="3" max="3" width="12.77734375" style="150" customWidth="1"/>
    <col min="4" max="4" width="2" style="150" customWidth="1"/>
    <col min="5" max="5" width="12.21875" style="150" customWidth="1"/>
    <col min="6" max="6" width="2.21875" style="150" customWidth="1"/>
    <col min="7" max="7" width="11.77734375" style="150" bestFit="1" customWidth="1"/>
    <col min="8" max="8" width="4.44140625" style="150" customWidth="1"/>
    <col min="9" max="9" width="15.77734375" style="150" hidden="1" customWidth="1"/>
    <col min="10" max="10" width="9.77734375" style="150" hidden="1" customWidth="1"/>
    <col min="11" max="16" width="9.21875" style="150" hidden="1" customWidth="1"/>
    <col min="17" max="17" width="7.77734375" style="150" customWidth="1"/>
    <col min="18" max="18" width="16" style="150" customWidth="1"/>
    <col min="19" max="19" width="8.21875" style="150" customWidth="1"/>
    <col min="20" max="20" width="12.21875" style="150" hidden="1" customWidth="1"/>
    <col min="21" max="21" width="3.77734375" style="150" hidden="1" customWidth="1"/>
    <col min="22" max="22" width="9.21875" style="150" hidden="1" customWidth="1"/>
    <col min="23" max="23" width="9.21875" style="116" hidden="1" customWidth="1"/>
    <col min="24" max="24" width="6.21875" style="150" hidden="1" customWidth="1"/>
    <col min="25" max="25" width="9.21875" style="150" hidden="1" customWidth="1"/>
    <col min="26" max="26" width="5.21875" style="150" hidden="1" customWidth="1"/>
    <col min="27" max="28" width="9.21875" style="150" hidden="1" customWidth="1"/>
    <col min="29" max="29" width="40" style="150" hidden="1" customWidth="1"/>
    <col min="30" max="30" width="24.21875" style="150" hidden="1" customWidth="1"/>
    <col min="31" max="35" width="9.21875" style="150" customWidth="1"/>
    <col min="36" max="16384" width="9.21875" style="150"/>
  </cols>
  <sheetData>
    <row r="1" spans="2:30" ht="13.2" thickBot="1" x14ac:dyDescent="0.25"/>
    <row r="2" spans="2:30" ht="18" thickBot="1" x14ac:dyDescent="0.35">
      <c r="B2" s="368" t="s">
        <v>495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70"/>
    </row>
    <row r="3" spans="2:30" x14ac:dyDescent="0.2">
      <c r="B3" s="371" t="s">
        <v>481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W3" s="126"/>
    </row>
    <row r="4" spans="2:30" ht="13.2" thickBot="1" x14ac:dyDescent="0.25"/>
    <row r="5" spans="2:30" ht="13.2" thickBot="1" x14ac:dyDescent="0.25">
      <c r="B5" s="192" t="s">
        <v>39</v>
      </c>
      <c r="C5" s="372"/>
      <c r="D5" s="373"/>
      <c r="E5" s="373"/>
      <c r="F5" s="373"/>
      <c r="G5" s="374"/>
    </row>
    <row r="6" spans="2:30" ht="13.2" thickBot="1" x14ac:dyDescent="0.25"/>
    <row r="7" spans="2:30" ht="13.2" thickBot="1" x14ac:dyDescent="0.25">
      <c r="B7" s="192" t="s">
        <v>513</v>
      </c>
      <c r="C7" s="151">
        <v>0</v>
      </c>
    </row>
    <row r="8" spans="2:30" ht="13.2" thickBot="1" x14ac:dyDescent="0.25"/>
    <row r="9" spans="2:30" ht="13.2" thickBot="1" x14ac:dyDescent="0.25">
      <c r="B9" s="192" t="s">
        <v>41</v>
      </c>
      <c r="C9" s="151">
        <v>1</v>
      </c>
    </row>
    <row r="10" spans="2:30" ht="13.2" thickBot="1" x14ac:dyDescent="0.25"/>
    <row r="11" spans="2:30" ht="13.2" thickBot="1" x14ac:dyDescent="0.25">
      <c r="B11" s="192" t="s">
        <v>38</v>
      </c>
      <c r="C11" s="365"/>
      <c r="D11" s="366"/>
      <c r="E11" s="367"/>
      <c r="V11" s="116"/>
    </row>
    <row r="12" spans="2:30" ht="15.75" customHeight="1" thickBot="1" x14ac:dyDescent="0.25">
      <c r="C12" s="152"/>
      <c r="D12" s="152"/>
      <c r="E12" s="152"/>
      <c r="F12" s="152"/>
      <c r="G12" s="152"/>
      <c r="H12" s="152"/>
      <c r="I12" s="153" t="s">
        <v>38</v>
      </c>
      <c r="J12" s="154" t="s">
        <v>32</v>
      </c>
      <c r="K12" s="154" t="s">
        <v>34</v>
      </c>
      <c r="L12" s="154" t="s">
        <v>50</v>
      </c>
      <c r="M12" s="154" t="s">
        <v>29</v>
      </c>
      <c r="N12" s="154" t="s">
        <v>30</v>
      </c>
      <c r="O12" s="154" t="s">
        <v>31</v>
      </c>
      <c r="P12" s="154" t="s">
        <v>33</v>
      </c>
      <c r="Q12" s="375" t="s">
        <v>468</v>
      </c>
      <c r="R12" s="376"/>
      <c r="S12" s="377"/>
      <c r="V12" s="116"/>
      <c r="AD12" s="2" t="s">
        <v>103</v>
      </c>
    </row>
    <row r="13" spans="2:30" ht="13.2" thickBot="1" x14ac:dyDescent="0.25">
      <c r="B13" s="192" t="s">
        <v>40</v>
      </c>
      <c r="C13" s="151"/>
      <c r="E13" s="357"/>
      <c r="F13" s="358"/>
      <c r="G13" s="359"/>
      <c r="H13" s="152"/>
      <c r="I13" s="155" t="s">
        <v>68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7" t="s">
        <v>41</v>
      </c>
      <c r="R13" s="157" t="s">
        <v>414</v>
      </c>
      <c r="S13" s="158" t="s">
        <v>417</v>
      </c>
      <c r="T13" s="116"/>
      <c r="U13" s="116"/>
      <c r="V13" s="116"/>
      <c r="AD13" s="159" t="s">
        <v>175</v>
      </c>
    </row>
    <row r="14" spans="2:30" ht="13.2" thickBot="1" x14ac:dyDescent="0.25">
      <c r="B14" s="192"/>
      <c r="C14" s="152"/>
      <c r="D14" s="152"/>
      <c r="E14" s="152"/>
      <c r="F14" s="152"/>
      <c r="G14" s="152"/>
      <c r="H14" s="152"/>
      <c r="I14" s="160" t="s">
        <v>69</v>
      </c>
      <c r="J14" s="161">
        <v>0</v>
      </c>
      <c r="K14" s="161">
        <v>0</v>
      </c>
      <c r="L14" s="161">
        <v>1</v>
      </c>
      <c r="M14" s="161">
        <v>0</v>
      </c>
      <c r="N14" s="161">
        <v>0</v>
      </c>
      <c r="O14" s="161">
        <v>0</v>
      </c>
      <c r="P14" s="161">
        <v>0</v>
      </c>
      <c r="Q14" s="141" t="str">
        <f>IF(Estagio&gt;1,2,"")</f>
        <v/>
      </c>
      <c r="R14" s="162"/>
      <c r="S14" s="163" t="str">
        <f t="shared" ref="S14:S42" si="0">IF(T14&lt;&gt;0,T14+$G$28,"")</f>
        <v/>
      </c>
      <c r="T14" s="116">
        <f t="shared" ref="T14:T42" si="1">IF(Q14="",0,VLOOKUP(R14,$V$20:$AB$29,$V$18,FALSE))</f>
        <v>0</v>
      </c>
      <c r="U14" s="116"/>
      <c r="V14" s="116"/>
      <c r="AD14" s="164" t="s">
        <v>178</v>
      </c>
    </row>
    <row r="15" spans="2:30" ht="13.2" thickBot="1" x14ac:dyDescent="0.25">
      <c r="B15" s="192" t="s">
        <v>484</v>
      </c>
      <c r="C15" s="357"/>
      <c r="D15" s="358"/>
      <c r="E15" s="359"/>
      <c r="H15" s="165"/>
      <c r="I15" s="31" t="s">
        <v>70</v>
      </c>
      <c r="J15" s="1">
        <v>1</v>
      </c>
      <c r="K15" s="1">
        <v>0</v>
      </c>
      <c r="L15" s="1">
        <v>0</v>
      </c>
      <c r="M15" s="1">
        <v>0</v>
      </c>
      <c r="N15" s="1">
        <v>-1</v>
      </c>
      <c r="O15" s="1">
        <v>1</v>
      </c>
      <c r="P15" s="1">
        <v>1</v>
      </c>
      <c r="Q15" s="141" t="str">
        <f t="shared" ref="Q15:Q42" si="2">IF(Estagio&gt;(Q14),Q14+1,"")</f>
        <v/>
      </c>
      <c r="R15" s="162"/>
      <c r="S15" s="163" t="str">
        <f t="shared" si="0"/>
        <v/>
      </c>
      <c r="T15" s="116">
        <f t="shared" si="1"/>
        <v>0</v>
      </c>
      <c r="U15" s="116"/>
      <c r="V15" s="116"/>
      <c r="AD15" s="164" t="s">
        <v>176</v>
      </c>
    </row>
    <row r="16" spans="2:30" x14ac:dyDescent="0.2">
      <c r="B16" s="192"/>
      <c r="C16" s="152"/>
      <c r="D16" s="152"/>
      <c r="E16" s="152"/>
      <c r="F16" s="152"/>
      <c r="G16" s="152"/>
      <c r="H16" s="166"/>
      <c r="I16" s="167" t="s">
        <v>71</v>
      </c>
      <c r="J16" s="168">
        <v>1</v>
      </c>
      <c r="K16" s="168">
        <v>1</v>
      </c>
      <c r="L16" s="168">
        <v>1</v>
      </c>
      <c r="M16" s="168">
        <v>-1</v>
      </c>
      <c r="N16" s="168">
        <v>-1</v>
      </c>
      <c r="O16" s="168">
        <v>1</v>
      </c>
      <c r="P16" s="168">
        <v>0</v>
      </c>
      <c r="Q16" s="141" t="str">
        <f>IF(Estagio&gt;(Q15),Q15+1,"")</f>
        <v/>
      </c>
      <c r="R16" s="162"/>
      <c r="S16" s="163" t="str">
        <f t="shared" si="0"/>
        <v/>
      </c>
      <c r="T16" s="116">
        <f t="shared" si="1"/>
        <v>0</v>
      </c>
      <c r="U16" s="116"/>
      <c r="V16" s="116"/>
      <c r="AD16" s="164" t="s">
        <v>177</v>
      </c>
    </row>
    <row r="17" spans="2:35" x14ac:dyDescent="0.2">
      <c r="B17" s="192" t="s">
        <v>202</v>
      </c>
      <c r="C17" s="152"/>
      <c r="D17" s="152"/>
      <c r="E17" s="169">
        <f>15+INT((Estagio-1)/2)</f>
        <v>15</v>
      </c>
      <c r="F17" s="152"/>
      <c r="G17" s="170"/>
      <c r="H17" s="166"/>
      <c r="I17" s="155" t="s">
        <v>72</v>
      </c>
      <c r="J17" s="156">
        <v>0</v>
      </c>
      <c r="K17" s="156">
        <v>-1</v>
      </c>
      <c r="L17" s="156">
        <v>0</v>
      </c>
      <c r="M17" s="156">
        <v>1</v>
      </c>
      <c r="N17" s="156">
        <v>2</v>
      </c>
      <c r="O17" s="156">
        <v>-1</v>
      </c>
      <c r="P17" s="156">
        <v>0</v>
      </c>
      <c r="Q17" s="141" t="str">
        <f t="shared" si="2"/>
        <v/>
      </c>
      <c r="R17" s="162"/>
      <c r="S17" s="163" t="str">
        <f t="shared" si="0"/>
        <v/>
      </c>
      <c r="T17" s="116">
        <f t="shared" si="1"/>
        <v>0</v>
      </c>
      <c r="U17" s="116"/>
      <c r="V17" s="116"/>
      <c r="AD17" s="159" t="s">
        <v>157</v>
      </c>
    </row>
    <row r="18" spans="2:35" x14ac:dyDescent="0.2">
      <c r="B18" s="192"/>
      <c r="C18" s="152"/>
      <c r="D18" s="152"/>
      <c r="E18" s="152"/>
      <c r="F18" s="152"/>
      <c r="G18" s="152"/>
      <c r="H18" s="166"/>
      <c r="I18" s="155" t="s">
        <v>73</v>
      </c>
      <c r="J18" s="156">
        <v>0</v>
      </c>
      <c r="K18" s="156">
        <v>0</v>
      </c>
      <c r="L18" s="156">
        <v>0</v>
      </c>
      <c r="M18" s="156">
        <v>-2</v>
      </c>
      <c r="N18" s="156">
        <v>1</v>
      </c>
      <c r="O18" s="156">
        <v>2</v>
      </c>
      <c r="P18" s="156">
        <v>1</v>
      </c>
      <c r="Q18" s="141" t="str">
        <f t="shared" si="2"/>
        <v/>
      </c>
      <c r="R18" s="162"/>
      <c r="S18" s="163" t="str">
        <f t="shared" si="0"/>
        <v/>
      </c>
      <c r="T18" s="116">
        <f t="shared" si="1"/>
        <v>0</v>
      </c>
      <c r="U18" s="116"/>
      <c r="V18" s="150">
        <f>IF(W19=C13,2,0)+IF(X19=C13,3,0)+IF(Y19=C13,4,0)+IF(Z19=C13,5,0)+IF(AA19=C13,6,0)+IF(AB19=C13,7,0)</f>
        <v>0</v>
      </c>
      <c r="AD18" s="164" t="s">
        <v>158</v>
      </c>
    </row>
    <row r="19" spans="2:35" ht="13.2" thickBot="1" x14ac:dyDescent="0.25">
      <c r="B19" s="192"/>
      <c r="C19" s="152" t="s">
        <v>74</v>
      </c>
      <c r="D19" s="152"/>
      <c r="E19" s="152" t="s">
        <v>75</v>
      </c>
      <c r="F19" s="152"/>
      <c r="G19" s="152" t="s">
        <v>76</v>
      </c>
      <c r="H19" s="171"/>
      <c r="Q19" s="141" t="str">
        <f t="shared" si="2"/>
        <v/>
      </c>
      <c r="R19" s="162"/>
      <c r="S19" s="163" t="str">
        <f t="shared" si="0"/>
        <v/>
      </c>
      <c r="T19" s="116">
        <f t="shared" si="1"/>
        <v>0</v>
      </c>
      <c r="U19" s="116"/>
      <c r="V19" s="172" t="s">
        <v>467</v>
      </c>
      <c r="W19" s="173" t="s">
        <v>103</v>
      </c>
      <c r="X19" s="174" t="s">
        <v>104</v>
      </c>
      <c r="Y19" s="174" t="s">
        <v>105</v>
      </c>
      <c r="Z19" s="174" t="s">
        <v>106</v>
      </c>
      <c r="AA19" s="174" t="s">
        <v>107</v>
      </c>
      <c r="AB19" s="174" t="s">
        <v>108</v>
      </c>
      <c r="AD19" s="164" t="s">
        <v>159</v>
      </c>
    </row>
    <row r="20" spans="2:35" ht="13.2" thickBot="1" x14ac:dyDescent="0.25">
      <c r="B20" s="175" t="s">
        <v>32</v>
      </c>
      <c r="C20" s="163" t="e">
        <f>VLOOKUP(C11,I12:P18,2,FALSE)</f>
        <v>#N/A</v>
      </c>
      <c r="D20" s="152"/>
      <c r="E20" s="163" t="e">
        <f>VLOOKUP(G20,$I$23:$N$33,C20+4,FALSE)</f>
        <v>#N/A</v>
      </c>
      <c r="F20" s="152"/>
      <c r="G20" s="176">
        <v>0</v>
      </c>
      <c r="H20" s="166"/>
      <c r="O20" s="177"/>
      <c r="Q20" s="141" t="str">
        <f t="shared" si="2"/>
        <v/>
      </c>
      <c r="R20" s="162"/>
      <c r="S20" s="163" t="str">
        <f t="shared" si="0"/>
        <v/>
      </c>
      <c r="T20" s="116">
        <f t="shared" si="1"/>
        <v>0</v>
      </c>
      <c r="U20" s="116"/>
      <c r="V20" s="178">
        <v>1</v>
      </c>
      <c r="W20" s="116">
        <v>6</v>
      </c>
      <c r="X20" s="150">
        <v>4</v>
      </c>
      <c r="Y20" s="150">
        <v>4</v>
      </c>
      <c r="Z20" s="150">
        <v>2</v>
      </c>
      <c r="AA20" s="150">
        <v>5</v>
      </c>
      <c r="AB20" s="150">
        <v>3</v>
      </c>
      <c r="AD20" s="159" t="s">
        <v>160</v>
      </c>
    </row>
    <row r="21" spans="2:35" ht="13.2" thickBot="1" x14ac:dyDescent="0.25">
      <c r="B21" s="175"/>
      <c r="C21" s="179"/>
      <c r="D21" s="152"/>
      <c r="E21" s="179"/>
      <c r="F21" s="152"/>
      <c r="G21" s="166"/>
      <c r="H21" s="171"/>
      <c r="J21" s="360" t="s">
        <v>74</v>
      </c>
      <c r="K21" s="361"/>
      <c r="L21" s="361"/>
      <c r="M21" s="361"/>
      <c r="N21" s="362"/>
      <c r="O21" s="180"/>
      <c r="Q21" s="141" t="str">
        <f t="shared" si="2"/>
        <v/>
      </c>
      <c r="R21" s="162"/>
      <c r="S21" s="163" t="str">
        <f t="shared" si="0"/>
        <v/>
      </c>
      <c r="T21" s="116">
        <f t="shared" si="1"/>
        <v>0</v>
      </c>
      <c r="U21" s="116"/>
      <c r="V21" s="178">
        <v>2</v>
      </c>
      <c r="W21" s="116">
        <v>6</v>
      </c>
      <c r="X21" s="150">
        <v>4</v>
      </c>
      <c r="Y21" s="150">
        <v>4</v>
      </c>
      <c r="Z21" s="150">
        <v>2</v>
      </c>
      <c r="AA21" s="150">
        <v>5</v>
      </c>
      <c r="AB21" s="150">
        <v>3</v>
      </c>
      <c r="AD21" s="164" t="s">
        <v>161</v>
      </c>
    </row>
    <row r="22" spans="2:35" ht="13.2" thickBot="1" x14ac:dyDescent="0.25">
      <c r="B22" s="175" t="s">
        <v>34</v>
      </c>
      <c r="C22" s="163" t="e">
        <f>VLOOKUP(C11,I12:P18,3,FALSE)</f>
        <v>#N/A</v>
      </c>
      <c r="D22" s="179"/>
      <c r="E22" s="163" t="e">
        <f>VLOOKUP(G22,$I$23:$N$33,C22+4,FALSE)</f>
        <v>#N/A</v>
      </c>
      <c r="F22" s="179"/>
      <c r="G22" s="176">
        <v>0</v>
      </c>
      <c r="H22" s="166"/>
      <c r="I22" s="169" t="s">
        <v>76</v>
      </c>
      <c r="J22" s="169">
        <v>-2</v>
      </c>
      <c r="K22" s="169">
        <v>-1</v>
      </c>
      <c r="L22" s="169">
        <v>0</v>
      </c>
      <c r="M22" s="169">
        <v>1</v>
      </c>
      <c r="N22" s="169">
        <v>2</v>
      </c>
      <c r="O22" s="177"/>
      <c r="Q22" s="141" t="str">
        <f t="shared" si="2"/>
        <v/>
      </c>
      <c r="R22" s="162"/>
      <c r="S22" s="163" t="str">
        <f t="shared" si="0"/>
        <v/>
      </c>
      <c r="T22" s="116">
        <f t="shared" si="1"/>
        <v>0</v>
      </c>
      <c r="U22" s="116"/>
      <c r="V22" s="178">
        <v>3</v>
      </c>
      <c r="W22" s="116">
        <v>7</v>
      </c>
      <c r="X22" s="150">
        <v>5</v>
      </c>
      <c r="Y22" s="150">
        <v>5</v>
      </c>
      <c r="Z22" s="150">
        <v>3</v>
      </c>
      <c r="AA22" s="150">
        <v>6</v>
      </c>
      <c r="AB22" s="150">
        <v>4</v>
      </c>
      <c r="AD22" s="164" t="s">
        <v>162</v>
      </c>
    </row>
    <row r="23" spans="2:35" ht="13.2" thickBot="1" x14ac:dyDescent="0.25">
      <c r="B23" s="175"/>
      <c r="C23" s="179"/>
      <c r="E23" s="181"/>
      <c r="G23" s="171"/>
      <c r="H23" s="171"/>
      <c r="I23" s="169">
        <v>-4</v>
      </c>
      <c r="J23" s="163">
        <v>-1</v>
      </c>
      <c r="K23" s="163" t="s">
        <v>78</v>
      </c>
      <c r="L23" s="163" t="s">
        <v>78</v>
      </c>
      <c r="M23" s="163" t="s">
        <v>78</v>
      </c>
      <c r="N23" s="163" t="s">
        <v>78</v>
      </c>
      <c r="O23" s="180"/>
      <c r="Q23" s="141" t="str">
        <f t="shared" si="2"/>
        <v/>
      </c>
      <c r="R23" s="162"/>
      <c r="S23" s="163" t="str">
        <f t="shared" si="0"/>
        <v/>
      </c>
      <c r="T23" s="116">
        <f t="shared" si="1"/>
        <v>0</v>
      </c>
      <c r="U23" s="116"/>
      <c r="V23" s="178">
        <v>4</v>
      </c>
      <c r="W23" s="116">
        <v>7</v>
      </c>
      <c r="X23" s="150">
        <v>5</v>
      </c>
      <c r="Y23" s="150">
        <v>5</v>
      </c>
      <c r="Z23" s="150">
        <v>3</v>
      </c>
      <c r="AA23" s="150">
        <v>6</v>
      </c>
      <c r="AB23" s="150">
        <v>4</v>
      </c>
      <c r="AD23" s="182" t="s">
        <v>445</v>
      </c>
    </row>
    <row r="24" spans="2:35" ht="13.2" thickBot="1" x14ac:dyDescent="0.25">
      <c r="B24" s="175" t="s">
        <v>50</v>
      </c>
      <c r="C24" s="163" t="e">
        <f>VLOOKUP(C11,I12:P18,4,FALSE)</f>
        <v>#N/A</v>
      </c>
      <c r="E24" s="163" t="e">
        <f>VLOOKUP(G24,$I$23:$N$33,C24+4,FALSE)</f>
        <v>#N/A</v>
      </c>
      <c r="G24" s="176">
        <v>0</v>
      </c>
      <c r="H24" s="166"/>
      <c r="I24" s="169">
        <v>-3</v>
      </c>
      <c r="J24" s="163">
        <v>-0.5</v>
      </c>
      <c r="K24" s="163">
        <v>-1</v>
      </c>
      <c r="L24" s="163" t="s">
        <v>78</v>
      </c>
      <c r="M24" s="163" t="s">
        <v>78</v>
      </c>
      <c r="N24" s="163" t="s">
        <v>78</v>
      </c>
      <c r="O24" s="183"/>
      <c r="Q24" s="141" t="str">
        <f t="shared" si="2"/>
        <v/>
      </c>
      <c r="R24" s="162"/>
      <c r="S24" s="163" t="str">
        <f t="shared" si="0"/>
        <v/>
      </c>
      <c r="T24" s="116">
        <f t="shared" si="1"/>
        <v>0</v>
      </c>
      <c r="U24" s="116"/>
      <c r="V24" s="178">
        <v>5</v>
      </c>
      <c r="W24" s="116">
        <v>7</v>
      </c>
      <c r="X24" s="150">
        <v>5</v>
      </c>
      <c r="Y24" s="150">
        <v>5</v>
      </c>
      <c r="Z24" s="150">
        <v>3</v>
      </c>
      <c r="AA24" s="150">
        <v>6</v>
      </c>
      <c r="AB24" s="150">
        <v>4</v>
      </c>
      <c r="AD24" s="182" t="s">
        <v>444</v>
      </c>
    </row>
    <row r="25" spans="2:35" ht="13.2" thickBot="1" x14ac:dyDescent="0.25">
      <c r="B25" s="175"/>
      <c r="C25" s="179"/>
      <c r="E25" s="181"/>
      <c r="G25" s="171"/>
      <c r="H25" s="171"/>
      <c r="I25" s="169">
        <v>-2</v>
      </c>
      <c r="J25" s="163">
        <v>0</v>
      </c>
      <c r="K25" s="163">
        <v>-0.5</v>
      </c>
      <c r="L25" s="163">
        <v>-1</v>
      </c>
      <c r="M25" s="163" t="s">
        <v>78</v>
      </c>
      <c r="N25" s="163" t="s">
        <v>78</v>
      </c>
      <c r="O25" s="180"/>
      <c r="Q25" s="141" t="str">
        <f t="shared" si="2"/>
        <v/>
      </c>
      <c r="R25" s="162"/>
      <c r="S25" s="163" t="str">
        <f t="shared" si="0"/>
        <v/>
      </c>
      <c r="T25" s="116">
        <f t="shared" si="1"/>
        <v>0</v>
      </c>
      <c r="U25" s="116"/>
      <c r="V25" s="178">
        <v>6</v>
      </c>
      <c r="W25" s="116">
        <v>8</v>
      </c>
      <c r="X25" s="150">
        <v>6</v>
      </c>
      <c r="Y25" s="150">
        <v>6</v>
      </c>
      <c r="Z25" s="150">
        <v>4</v>
      </c>
      <c r="AA25" s="150">
        <v>7</v>
      </c>
      <c r="AB25" s="150">
        <v>5</v>
      </c>
      <c r="AD25" s="182" t="s">
        <v>446</v>
      </c>
    </row>
    <row r="26" spans="2:35" ht="13.2" thickBot="1" x14ac:dyDescent="0.25">
      <c r="B26" s="175" t="s">
        <v>29</v>
      </c>
      <c r="C26" s="163" t="e">
        <f>VLOOKUP(C11,I12:P18,5,FALSE)</f>
        <v>#N/A</v>
      </c>
      <c r="E26" s="163" t="e">
        <f>VLOOKUP(G26,$I$23:$N$33,C26+4,FALSE)</f>
        <v>#N/A</v>
      </c>
      <c r="G26" s="176">
        <v>0</v>
      </c>
      <c r="H26" s="166"/>
      <c r="I26" s="169">
        <v>-1</v>
      </c>
      <c r="J26" s="163">
        <v>1</v>
      </c>
      <c r="K26" s="163">
        <v>0</v>
      </c>
      <c r="L26" s="163">
        <v>-0.5</v>
      </c>
      <c r="M26" s="163">
        <v>-1</v>
      </c>
      <c r="N26" s="163" t="s">
        <v>78</v>
      </c>
      <c r="O26" s="183"/>
      <c r="Q26" s="141" t="str">
        <f t="shared" si="2"/>
        <v/>
      </c>
      <c r="R26" s="162"/>
      <c r="S26" s="163" t="str">
        <f t="shared" si="0"/>
        <v/>
      </c>
      <c r="T26" s="116">
        <f t="shared" si="1"/>
        <v>0</v>
      </c>
      <c r="U26" s="116"/>
      <c r="V26" s="178">
        <v>7</v>
      </c>
      <c r="W26" s="116">
        <v>8</v>
      </c>
      <c r="X26" s="150">
        <v>6</v>
      </c>
      <c r="Y26" s="150">
        <v>6</v>
      </c>
      <c r="Z26" s="150">
        <v>4</v>
      </c>
      <c r="AA26" s="150">
        <v>7</v>
      </c>
      <c r="AB26" s="150">
        <v>5</v>
      </c>
      <c r="AD26" s="164" t="s">
        <v>180</v>
      </c>
    </row>
    <row r="27" spans="2:35" ht="13.2" thickBot="1" x14ac:dyDescent="0.25">
      <c r="B27" s="175"/>
      <c r="C27" s="179"/>
      <c r="E27" s="181"/>
      <c r="G27" s="171"/>
      <c r="H27" s="171"/>
      <c r="I27" s="169">
        <v>0</v>
      </c>
      <c r="J27" s="163">
        <v>2</v>
      </c>
      <c r="K27" s="163">
        <v>1</v>
      </c>
      <c r="L27" s="163">
        <v>0</v>
      </c>
      <c r="M27" s="163">
        <v>-0.5</v>
      </c>
      <c r="N27" s="163">
        <v>-1</v>
      </c>
      <c r="Q27" s="141" t="str">
        <f t="shared" si="2"/>
        <v/>
      </c>
      <c r="R27" s="162"/>
      <c r="S27" s="163" t="str">
        <f t="shared" si="0"/>
        <v/>
      </c>
      <c r="T27" s="116">
        <f t="shared" si="1"/>
        <v>0</v>
      </c>
      <c r="U27" s="116"/>
      <c r="V27" s="178">
        <v>8</v>
      </c>
      <c r="W27" s="116">
        <v>8</v>
      </c>
      <c r="X27" s="150">
        <v>6</v>
      </c>
      <c r="Y27" s="150">
        <v>6</v>
      </c>
      <c r="Z27" s="150">
        <v>4</v>
      </c>
      <c r="AA27" s="150">
        <v>7</v>
      </c>
      <c r="AB27" s="150">
        <v>5</v>
      </c>
      <c r="AD27" s="164" t="s">
        <v>179</v>
      </c>
    </row>
    <row r="28" spans="2:35" ht="13.2" thickBot="1" x14ac:dyDescent="0.25">
      <c r="B28" s="175" t="s">
        <v>30</v>
      </c>
      <c r="C28" s="163" t="e">
        <f>VLOOKUP(C11,I12:P18,6,FALSE)</f>
        <v>#N/A</v>
      </c>
      <c r="E28" s="163" t="e">
        <f>VLOOKUP(G28,$I$23:$N$33,C28+4,FALSE)</f>
        <v>#N/A</v>
      </c>
      <c r="G28" s="176">
        <v>0</v>
      </c>
      <c r="H28" s="166"/>
      <c r="I28" s="169">
        <v>1</v>
      </c>
      <c r="J28" s="163">
        <v>3</v>
      </c>
      <c r="K28" s="163">
        <v>2</v>
      </c>
      <c r="L28" s="163">
        <v>1</v>
      </c>
      <c r="M28" s="163">
        <v>0</v>
      </c>
      <c r="N28" s="163">
        <v>-0.5</v>
      </c>
      <c r="Q28" s="141" t="str">
        <f t="shared" si="2"/>
        <v/>
      </c>
      <c r="R28" s="162"/>
      <c r="S28" s="163" t="str">
        <f t="shared" si="0"/>
        <v/>
      </c>
      <c r="T28" s="116">
        <f t="shared" si="1"/>
        <v>0</v>
      </c>
      <c r="U28" s="116"/>
      <c r="V28" s="178">
        <v>9</v>
      </c>
      <c r="W28" s="116">
        <v>9</v>
      </c>
      <c r="X28" s="150">
        <v>7</v>
      </c>
      <c r="Y28" s="150">
        <v>7</v>
      </c>
      <c r="Z28" s="150">
        <v>5</v>
      </c>
      <c r="AA28" s="150">
        <v>8</v>
      </c>
      <c r="AB28" s="150">
        <v>6</v>
      </c>
      <c r="AD28" s="164" t="s">
        <v>181</v>
      </c>
      <c r="AE28" s="184"/>
      <c r="AG28" s="184"/>
      <c r="AH28" s="184"/>
      <c r="AI28" s="184"/>
    </row>
    <row r="29" spans="2:35" ht="13.2" thickBot="1" x14ac:dyDescent="0.25">
      <c r="B29" s="175"/>
      <c r="C29" s="179"/>
      <c r="E29" s="181"/>
      <c r="G29" s="171"/>
      <c r="I29" s="169">
        <v>2</v>
      </c>
      <c r="J29" s="163">
        <v>5</v>
      </c>
      <c r="K29" s="163">
        <v>4</v>
      </c>
      <c r="L29" s="163">
        <v>3</v>
      </c>
      <c r="M29" s="163">
        <v>2</v>
      </c>
      <c r="N29" s="163">
        <v>0</v>
      </c>
      <c r="Q29" s="141" t="str">
        <f t="shared" si="2"/>
        <v/>
      </c>
      <c r="R29" s="162"/>
      <c r="S29" s="163" t="str">
        <f t="shared" si="0"/>
        <v/>
      </c>
      <c r="T29" s="116">
        <f t="shared" si="1"/>
        <v>0</v>
      </c>
      <c r="U29" s="116"/>
      <c r="V29" s="178">
        <v>10</v>
      </c>
      <c r="W29" s="116">
        <v>9</v>
      </c>
      <c r="X29" s="150">
        <v>7</v>
      </c>
      <c r="Y29" s="150">
        <v>7</v>
      </c>
      <c r="Z29" s="150">
        <v>5</v>
      </c>
      <c r="AA29" s="150">
        <v>8</v>
      </c>
      <c r="AB29" s="150">
        <v>6</v>
      </c>
      <c r="AD29" s="164" t="s">
        <v>163</v>
      </c>
      <c r="AE29" s="184"/>
      <c r="AG29" s="184"/>
      <c r="AH29" s="184"/>
      <c r="AI29" s="184"/>
    </row>
    <row r="30" spans="2:35" ht="13.2" thickBot="1" x14ac:dyDescent="0.25">
      <c r="B30" s="175" t="s">
        <v>31</v>
      </c>
      <c r="C30" s="163" t="e">
        <f>VLOOKUP(C11,I12:P18,7,FALSE)</f>
        <v>#N/A</v>
      </c>
      <c r="E30" s="163" t="e">
        <f>VLOOKUP(G30,$I$23:$N$33,C30+4,FALSE)</f>
        <v>#N/A</v>
      </c>
      <c r="G30" s="176">
        <v>0</v>
      </c>
      <c r="I30" s="169">
        <v>3</v>
      </c>
      <c r="J30" s="163">
        <f>J29+3</f>
        <v>8</v>
      </c>
      <c r="K30" s="163">
        <f>K29+3</f>
        <v>7</v>
      </c>
      <c r="L30" s="163">
        <f>L29+3</f>
        <v>6</v>
      </c>
      <c r="M30" s="163">
        <f>M29+3</f>
        <v>5</v>
      </c>
      <c r="N30" s="163">
        <f>N29+3</f>
        <v>3</v>
      </c>
      <c r="Q30" s="141" t="str">
        <f t="shared" si="2"/>
        <v/>
      </c>
      <c r="R30" s="162"/>
      <c r="S30" s="163" t="str">
        <f t="shared" si="0"/>
        <v/>
      </c>
      <c r="T30" s="116">
        <f t="shared" si="1"/>
        <v>0</v>
      </c>
      <c r="U30" s="116"/>
      <c r="V30" s="116"/>
      <c r="AD30" s="164" t="s">
        <v>164</v>
      </c>
      <c r="AE30" s="184"/>
      <c r="AG30" s="184"/>
      <c r="AH30" s="184"/>
      <c r="AI30" s="184"/>
    </row>
    <row r="31" spans="2:35" ht="13.2" thickBot="1" x14ac:dyDescent="0.25">
      <c r="B31" s="175"/>
      <c r="C31" s="179"/>
      <c r="E31" s="181"/>
      <c r="G31" s="171"/>
      <c r="I31" s="169">
        <v>4</v>
      </c>
      <c r="J31" s="163">
        <f>J30+4</f>
        <v>12</v>
      </c>
      <c r="K31" s="163">
        <f>K30+4</f>
        <v>11</v>
      </c>
      <c r="L31" s="163">
        <f>L30+4</f>
        <v>10</v>
      </c>
      <c r="M31" s="163">
        <f>M30+4</f>
        <v>9</v>
      </c>
      <c r="N31" s="163">
        <f>N30+4</f>
        <v>7</v>
      </c>
      <c r="Q31" s="141" t="str">
        <f t="shared" si="2"/>
        <v/>
      </c>
      <c r="R31" s="162"/>
      <c r="S31" s="163" t="str">
        <f t="shared" si="0"/>
        <v/>
      </c>
      <c r="T31" s="116">
        <f t="shared" si="1"/>
        <v>0</v>
      </c>
      <c r="U31" s="116"/>
      <c r="V31" s="116"/>
      <c r="AD31" s="164" t="s">
        <v>165</v>
      </c>
      <c r="AE31" s="184"/>
      <c r="AG31" s="184"/>
      <c r="AH31" s="184"/>
      <c r="AI31" s="184"/>
    </row>
    <row r="32" spans="2:35" ht="13.2" thickBot="1" x14ac:dyDescent="0.25">
      <c r="B32" s="175" t="s">
        <v>33</v>
      </c>
      <c r="C32" s="163" t="e">
        <f>VLOOKUP(C11,I12:P18,8,FALSE)</f>
        <v>#N/A</v>
      </c>
      <c r="E32" s="163" t="e">
        <f>VLOOKUP(G32,$I$23:$N$33,C32+4,FALSE)</f>
        <v>#N/A</v>
      </c>
      <c r="G32" s="176">
        <v>0</v>
      </c>
      <c r="I32" s="169">
        <v>5</v>
      </c>
      <c r="J32" s="163">
        <f>J31+5</f>
        <v>17</v>
      </c>
      <c r="K32" s="163">
        <f>K31+5</f>
        <v>16</v>
      </c>
      <c r="L32" s="163">
        <f>L31+5</f>
        <v>15</v>
      </c>
      <c r="M32" s="163">
        <f>M31+5</f>
        <v>14</v>
      </c>
      <c r="N32" s="163">
        <f>N31+5</f>
        <v>12</v>
      </c>
      <c r="Q32" s="141" t="str">
        <f t="shared" si="2"/>
        <v/>
      </c>
      <c r="R32" s="162"/>
      <c r="S32" s="163" t="str">
        <f t="shared" si="0"/>
        <v/>
      </c>
      <c r="T32" s="116">
        <f t="shared" si="1"/>
        <v>0</v>
      </c>
      <c r="U32" s="116"/>
      <c r="V32" s="116"/>
      <c r="AD32" s="164" t="s">
        <v>166</v>
      </c>
      <c r="AE32" s="184"/>
      <c r="AG32" s="184"/>
      <c r="AH32" s="184"/>
      <c r="AI32" s="184"/>
    </row>
    <row r="33" spans="2:35" x14ac:dyDescent="0.2">
      <c r="E33" s="181"/>
      <c r="I33" s="169">
        <v>6</v>
      </c>
      <c r="J33" s="163">
        <f>J32+6</f>
        <v>23</v>
      </c>
      <c r="K33" s="163">
        <f>K32+6</f>
        <v>22</v>
      </c>
      <c r="L33" s="163">
        <f>L32+6</f>
        <v>21</v>
      </c>
      <c r="M33" s="163">
        <f>M32+6</f>
        <v>20</v>
      </c>
      <c r="N33" s="163">
        <f>N32+6</f>
        <v>18</v>
      </c>
      <c r="Q33" s="141" t="str">
        <f t="shared" si="2"/>
        <v/>
      </c>
      <c r="R33" s="162"/>
      <c r="S33" s="163" t="str">
        <f t="shared" si="0"/>
        <v/>
      </c>
      <c r="T33" s="116">
        <f t="shared" si="1"/>
        <v>0</v>
      </c>
      <c r="U33" s="116"/>
      <c r="V33" s="116"/>
      <c r="AD33" s="164" t="s">
        <v>167</v>
      </c>
      <c r="AE33" s="184"/>
      <c r="AG33" s="184"/>
      <c r="AH33" s="184"/>
      <c r="AI33" s="184"/>
    </row>
    <row r="34" spans="2:35" x14ac:dyDescent="0.2">
      <c r="B34" s="363" t="s">
        <v>77</v>
      </c>
      <c r="C34" s="363"/>
      <c r="D34" s="364"/>
      <c r="E34" s="185" t="e">
        <f>E17-(E20+E22+E24+E26+E28+E30+E32)</f>
        <v>#N/A</v>
      </c>
      <c r="Q34" s="141" t="str">
        <f t="shared" si="2"/>
        <v/>
      </c>
      <c r="R34" s="162"/>
      <c r="S34" s="163" t="str">
        <f t="shared" si="0"/>
        <v/>
      </c>
      <c r="T34" s="116">
        <f t="shared" si="1"/>
        <v>0</v>
      </c>
      <c r="U34" s="116"/>
      <c r="V34" s="116"/>
      <c r="AD34" s="186" t="s">
        <v>168</v>
      </c>
      <c r="AE34" s="184"/>
      <c r="AG34" s="184"/>
      <c r="AH34" s="184"/>
      <c r="AI34" s="184"/>
    </row>
    <row r="35" spans="2:35" x14ac:dyDescent="0.2">
      <c r="Q35" s="141" t="str">
        <f t="shared" si="2"/>
        <v/>
      </c>
      <c r="R35" s="162"/>
      <c r="S35" s="163" t="str">
        <f t="shared" si="0"/>
        <v/>
      </c>
      <c r="T35" s="116">
        <f t="shared" si="1"/>
        <v>0</v>
      </c>
      <c r="U35" s="116"/>
      <c r="V35" s="116"/>
      <c r="AD35" s="159" t="s">
        <v>169</v>
      </c>
      <c r="AE35" s="184"/>
      <c r="AG35" s="184"/>
      <c r="AH35" s="184"/>
      <c r="AI35" s="184"/>
    </row>
    <row r="36" spans="2:35" x14ac:dyDescent="0.2">
      <c r="Q36" s="141" t="str">
        <f t="shared" si="2"/>
        <v/>
      </c>
      <c r="R36" s="162"/>
      <c r="S36" s="163" t="str">
        <f t="shared" si="0"/>
        <v/>
      </c>
      <c r="T36" s="116">
        <f t="shared" si="1"/>
        <v>0</v>
      </c>
      <c r="U36" s="116"/>
      <c r="V36" s="116"/>
      <c r="AD36" s="164" t="s">
        <v>394</v>
      </c>
      <c r="AE36" s="184"/>
      <c r="AG36" s="184"/>
      <c r="AH36" s="184"/>
      <c r="AI36" s="184"/>
    </row>
    <row r="37" spans="2:35" x14ac:dyDescent="0.2">
      <c r="Q37" s="141" t="str">
        <f t="shared" si="2"/>
        <v/>
      </c>
      <c r="R37" s="162"/>
      <c r="S37" s="163" t="str">
        <f t="shared" si="0"/>
        <v/>
      </c>
      <c r="T37" s="116">
        <f t="shared" si="1"/>
        <v>0</v>
      </c>
      <c r="U37" s="116"/>
      <c r="V37" s="116"/>
      <c r="AD37" s="164" t="s">
        <v>396</v>
      </c>
    </row>
    <row r="38" spans="2:35" x14ac:dyDescent="0.2">
      <c r="Q38" s="141" t="str">
        <f t="shared" si="2"/>
        <v/>
      </c>
      <c r="R38" s="162"/>
      <c r="S38" s="163" t="str">
        <f t="shared" si="0"/>
        <v/>
      </c>
      <c r="T38" s="116">
        <f t="shared" si="1"/>
        <v>0</v>
      </c>
      <c r="U38" s="116"/>
      <c r="V38" s="116"/>
      <c r="AD38" s="164" t="s">
        <v>395</v>
      </c>
    </row>
    <row r="39" spans="2:35" x14ac:dyDescent="0.2">
      <c r="Q39" s="141" t="str">
        <f t="shared" si="2"/>
        <v/>
      </c>
      <c r="R39" s="162"/>
      <c r="S39" s="163" t="str">
        <f t="shared" si="0"/>
        <v/>
      </c>
      <c r="T39" s="116">
        <f t="shared" si="1"/>
        <v>0</v>
      </c>
      <c r="U39" s="116"/>
      <c r="V39" s="116"/>
      <c r="AD39" s="164" t="s">
        <v>170</v>
      </c>
    </row>
    <row r="40" spans="2:35" x14ac:dyDescent="0.2">
      <c r="Q40" s="141" t="str">
        <f t="shared" si="2"/>
        <v/>
      </c>
      <c r="R40" s="162"/>
      <c r="S40" s="163" t="str">
        <f t="shared" si="0"/>
        <v/>
      </c>
      <c r="T40" s="116">
        <f t="shared" si="1"/>
        <v>0</v>
      </c>
      <c r="U40" s="116"/>
      <c r="V40" s="116"/>
      <c r="AD40" s="164" t="s">
        <v>171</v>
      </c>
    </row>
    <row r="41" spans="2:35" x14ac:dyDescent="0.2">
      <c r="Q41" s="141" t="str">
        <f t="shared" si="2"/>
        <v/>
      </c>
      <c r="R41" s="162"/>
      <c r="S41" s="163" t="str">
        <f t="shared" si="0"/>
        <v/>
      </c>
      <c r="T41" s="116">
        <f t="shared" si="1"/>
        <v>0</v>
      </c>
      <c r="U41" s="116"/>
      <c r="V41" s="116"/>
      <c r="AD41" s="159" t="s">
        <v>172</v>
      </c>
    </row>
    <row r="42" spans="2:35" x14ac:dyDescent="0.2">
      <c r="Q42" s="141" t="str">
        <f t="shared" si="2"/>
        <v/>
      </c>
      <c r="R42" s="162"/>
      <c r="S42" s="163" t="str">
        <f t="shared" si="0"/>
        <v/>
      </c>
      <c r="T42" s="116">
        <f t="shared" si="1"/>
        <v>0</v>
      </c>
      <c r="U42" s="116"/>
      <c r="V42" s="116"/>
      <c r="AD42" s="164" t="s">
        <v>173</v>
      </c>
    </row>
    <row r="43" spans="2:35" x14ac:dyDescent="0.2">
      <c r="Q43" s="187"/>
      <c r="R43" s="188" t="s">
        <v>469</v>
      </c>
      <c r="S43" s="189">
        <f>SUM(S14:S42)</f>
        <v>0</v>
      </c>
      <c r="U43" s="116"/>
      <c r="V43" s="116"/>
      <c r="AD43" s="164" t="s">
        <v>174</v>
      </c>
    </row>
    <row r="44" spans="2:35" x14ac:dyDescent="0.2">
      <c r="V44" s="116"/>
      <c r="AD44" s="190" t="s">
        <v>422</v>
      </c>
    </row>
    <row r="45" spans="2:35" x14ac:dyDescent="0.2">
      <c r="V45" s="116"/>
      <c r="AD45" s="182" t="s">
        <v>424</v>
      </c>
    </row>
    <row r="46" spans="2:35" x14ac:dyDescent="0.2">
      <c r="V46" s="116"/>
      <c r="AD46" s="182" t="s">
        <v>423</v>
      </c>
    </row>
  </sheetData>
  <sheetProtection sheet="1" objects="1" scenarios="1" formatCells="0" formatColumns="0" formatRows="0"/>
  <mergeCells count="9">
    <mergeCell ref="C15:E15"/>
    <mergeCell ref="J21:N21"/>
    <mergeCell ref="B34:D34"/>
    <mergeCell ref="C11:E11"/>
    <mergeCell ref="B2:S2"/>
    <mergeCell ref="B3:S3"/>
    <mergeCell ref="E13:G13"/>
    <mergeCell ref="C5:G5"/>
    <mergeCell ref="Q12:S12"/>
  </mergeCells>
  <phoneticPr fontId="0" type="noConversion"/>
  <dataValidations count="6">
    <dataValidation type="whole" allowBlank="1" showInputMessage="1" showErrorMessage="1" sqref="R14:R42">
      <formula1>1</formula1>
      <formula2>10</formula2>
    </dataValidation>
    <dataValidation type="list" allowBlank="1" showInputMessage="1" showErrorMessage="1" sqref="E13">
      <formula1>$AD$13:$AD$46</formula1>
    </dataValidation>
    <dataValidation type="list" allowBlank="1" showInputMessage="1" showErrorMessage="1" sqref="C13">
      <formula1>$W$19:$AB$19</formula1>
    </dataValidation>
    <dataValidation type="list" allowBlank="1" showInputMessage="1" showErrorMessage="1" sqref="G32 G22 G24 G30 G26 G28 G20">
      <formula1>$I$23:$I$33</formula1>
    </dataValidation>
    <dataValidation allowBlank="1" showInputMessage="1" showErrorMessage="1" sqref="G27 G31 G23 G29 G25"/>
    <dataValidation type="list" allowBlank="1" showInputMessage="1" showErrorMessage="1" sqref="C14 C11 C16">
      <formula1>$I$13:$I$18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Y38"/>
  <sheetViews>
    <sheetView zoomScale="85" zoomScaleNormal="85" workbookViewId="0">
      <selection activeCell="Y9" sqref="Y9:AC9"/>
    </sheetView>
  </sheetViews>
  <sheetFormatPr defaultColWidth="2.5546875" defaultRowHeight="14.25" customHeight="1" x14ac:dyDescent="0.2"/>
  <cols>
    <col min="1" max="1" width="1.21875" style="116" customWidth="1"/>
    <col min="2" max="39" width="1.44140625" style="116" customWidth="1"/>
    <col min="40" max="40" width="0.77734375" style="116" customWidth="1"/>
    <col min="41" max="41" width="5.44140625" style="116" hidden="1" customWidth="1"/>
    <col min="42" max="45" width="2.5546875" style="116" hidden="1" customWidth="1"/>
    <col min="46" max="46" width="9.21875" style="116" hidden="1" customWidth="1"/>
    <col min="47" max="47" width="1.21875" style="116" customWidth="1"/>
    <col min="48" max="49" width="1.44140625" style="116" customWidth="1"/>
    <col min="50" max="50" width="1.21875" style="116" customWidth="1"/>
    <col min="51" max="86" width="1.44140625" style="116" customWidth="1"/>
    <col min="87" max="91" width="1.44140625" style="116" hidden="1" customWidth="1"/>
    <col min="92" max="92" width="5.21875" style="116" hidden="1" customWidth="1"/>
    <col min="93" max="94" width="2.5546875" style="116" hidden="1" customWidth="1"/>
    <col min="95" max="95" width="14.21875" style="116" hidden="1" customWidth="1"/>
    <col min="96" max="96" width="20.77734375" style="116" hidden="1" customWidth="1"/>
    <col min="97" max="98" width="15.109375" style="231" hidden="1" customWidth="1"/>
    <col min="99" max="99" width="12.6640625" style="231" hidden="1" customWidth="1"/>
    <col min="100" max="100" width="18.21875" style="257" hidden="1" customWidth="1"/>
    <col min="101" max="103" width="2.5546875" style="116" hidden="1" customWidth="1"/>
    <col min="104" max="145" width="2.5546875" style="116" customWidth="1"/>
    <col min="146" max="16384" width="2.5546875" style="116"/>
  </cols>
  <sheetData>
    <row r="1" spans="2:100" ht="14.25" customHeight="1" thickBot="1" x14ac:dyDescent="0.25"/>
    <row r="2" spans="2:100" ht="14.25" customHeight="1" thickBot="1" x14ac:dyDescent="0.35">
      <c r="B2" s="368" t="s">
        <v>23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70"/>
    </row>
    <row r="3" spans="2:100" ht="14.25" customHeight="1" thickBot="1" x14ac:dyDescent="0.25"/>
    <row r="4" spans="2:100" ht="14.25" customHeight="1" thickBot="1" x14ac:dyDescent="0.25">
      <c r="B4" s="139" t="s">
        <v>479</v>
      </c>
      <c r="S4" s="383" t="e">
        <f>VLOOKUP(Profissao,CQ8:CT13,4,FALSE)*Estagio</f>
        <v>#N/A</v>
      </c>
      <c r="T4" s="384"/>
      <c r="U4" s="384"/>
      <c r="V4" s="384"/>
      <c r="W4" s="385"/>
      <c r="Y4" s="139" t="s">
        <v>480</v>
      </c>
      <c r="AL4" s="383" t="e">
        <f>S4-AT32</f>
        <v>#N/A</v>
      </c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5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R4" s="231"/>
      <c r="CU4" s="257"/>
      <c r="CV4" s="116"/>
    </row>
    <row r="5" spans="2:100" ht="14.25" customHeight="1" thickBot="1" x14ac:dyDescent="0.25">
      <c r="CS5" s="116"/>
      <c r="CU5" s="257"/>
      <c r="CV5" s="116"/>
    </row>
    <row r="6" spans="2:100" ht="14.25" customHeight="1" thickBot="1" x14ac:dyDescent="0.25">
      <c r="B6" s="230" t="s">
        <v>671</v>
      </c>
      <c r="G6" s="230"/>
      <c r="H6" s="230"/>
      <c r="I6" s="230"/>
      <c r="J6" s="230"/>
      <c r="K6" s="230"/>
      <c r="L6" s="230"/>
      <c r="M6" s="230"/>
      <c r="S6" s="383">
        <f>COUNT(BS9:BW31)+COUNT(Y9:AC31)</f>
        <v>0</v>
      </c>
      <c r="T6" s="384"/>
      <c r="U6" s="384"/>
      <c r="V6" s="384"/>
      <c r="W6" s="385"/>
      <c r="Y6" s="252" t="s">
        <v>675</v>
      </c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BD6" s="383" t="e">
        <f>ROUNDDOWN((Estagio/2+VLOOKUP(Profissao,$CQ$8:$CS$13,3,FALSE)),0)-S6</f>
        <v>#N/A</v>
      </c>
      <c r="BE6" s="384"/>
      <c r="BF6" s="384"/>
      <c r="BG6" s="384"/>
      <c r="BH6" s="385"/>
      <c r="CR6" s="231"/>
      <c r="CU6" s="257"/>
      <c r="CV6" s="116"/>
    </row>
    <row r="7" spans="2:100" ht="14.25" customHeight="1" thickBot="1" x14ac:dyDescent="0.25">
      <c r="B7" s="251" t="e">
        <f>IF($S$6&gt;Estagio/2+VLOOKUP(Profissao,$CQ$8:$CS$13,3,FALSE),"Você comprou uma quantidade de habilidades superiror ao permitido para sua profissão e estágio que é " &amp; ROUNDDOWN(Estagio/2,0)+VLOOKUP(Profissao,$CQ$8:$CS$13,3,FALSE),"")</f>
        <v>#N/A</v>
      </c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Q7" s="253" t="s">
        <v>40</v>
      </c>
      <c r="CR7" s="253" t="s">
        <v>667</v>
      </c>
      <c r="CS7" s="254" t="s">
        <v>674</v>
      </c>
      <c r="CT7" s="254" t="s">
        <v>677</v>
      </c>
      <c r="CU7" s="254" t="s">
        <v>676</v>
      </c>
      <c r="CV7" s="258" t="s">
        <v>678</v>
      </c>
    </row>
    <row r="8" spans="2:100" ht="14.25" customHeight="1" thickBot="1" x14ac:dyDescent="0.25">
      <c r="B8" s="124" t="s">
        <v>14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40"/>
      <c r="Y8" s="394" t="s">
        <v>19</v>
      </c>
      <c r="Z8" s="395"/>
      <c r="AA8" s="395"/>
      <c r="AB8" s="395"/>
      <c r="AC8" s="395"/>
      <c r="AD8" s="409" t="s">
        <v>35</v>
      </c>
      <c r="AE8" s="410"/>
      <c r="AF8" s="410"/>
      <c r="AG8" s="410"/>
      <c r="AH8" s="411"/>
      <c r="AI8" s="395" t="s">
        <v>17</v>
      </c>
      <c r="AJ8" s="395"/>
      <c r="AK8" s="395"/>
      <c r="AL8" s="395"/>
      <c r="AM8" s="397"/>
      <c r="AO8" s="381" t="s">
        <v>114</v>
      </c>
      <c r="AP8" s="381"/>
      <c r="AQ8" s="381"/>
      <c r="AR8" s="381"/>
      <c r="AS8" s="381"/>
      <c r="AT8" s="142" t="s">
        <v>478</v>
      </c>
      <c r="AV8" s="124" t="s">
        <v>133</v>
      </c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40"/>
      <c r="BS8" s="394" t="s">
        <v>19</v>
      </c>
      <c r="BT8" s="395"/>
      <c r="BU8" s="395"/>
      <c r="BV8" s="395"/>
      <c r="BW8" s="395"/>
      <c r="BX8" s="409" t="s">
        <v>35</v>
      </c>
      <c r="BY8" s="410"/>
      <c r="BZ8" s="410"/>
      <c r="CA8" s="410"/>
      <c r="CB8" s="411"/>
      <c r="CC8" s="395" t="s">
        <v>17</v>
      </c>
      <c r="CD8" s="395"/>
      <c r="CE8" s="395"/>
      <c r="CF8" s="395"/>
      <c r="CG8" s="397"/>
      <c r="CI8" s="416"/>
      <c r="CJ8" s="416"/>
      <c r="CK8" s="416"/>
      <c r="CL8" s="416"/>
      <c r="CM8" s="416"/>
      <c r="CN8" s="142"/>
      <c r="CQ8" s="142" t="s">
        <v>108</v>
      </c>
      <c r="CR8" s="232" t="s">
        <v>668</v>
      </c>
      <c r="CS8" s="237">
        <f>CT8</f>
        <v>16</v>
      </c>
      <c r="CT8" s="237">
        <v>16</v>
      </c>
      <c r="CU8" s="255">
        <v>1.4</v>
      </c>
      <c r="CV8" s="256">
        <f>CT8/CU8</f>
        <v>11.428571428571429</v>
      </c>
    </row>
    <row r="9" spans="2:100" ht="14.25" customHeight="1" x14ac:dyDescent="0.2">
      <c r="B9" s="143" t="s">
        <v>521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391"/>
      <c r="Z9" s="392"/>
      <c r="AA9" s="392"/>
      <c r="AB9" s="392"/>
      <c r="AC9" s="393"/>
      <c r="AD9" s="388" t="s">
        <v>399</v>
      </c>
      <c r="AE9" s="389"/>
      <c r="AF9" s="389"/>
      <c r="AG9" s="389"/>
      <c r="AH9" s="396"/>
      <c r="AI9" s="388" t="str">
        <f>IF(Y9&gt;0,Y9+INT,"")</f>
        <v/>
      </c>
      <c r="AJ9" s="389"/>
      <c r="AK9" s="389"/>
      <c r="AL9" s="389"/>
      <c r="AM9" s="390"/>
      <c r="AO9" s="382">
        <f>1+IF(Características!$C$13="Rastreador",1,0)</f>
        <v>1</v>
      </c>
      <c r="AP9" s="382"/>
      <c r="AQ9" s="382"/>
      <c r="AR9" s="382"/>
      <c r="AS9" s="382"/>
      <c r="AT9" s="142">
        <f t="shared" ref="AT9:AT15" si="0">Y9*AO9</f>
        <v>0</v>
      </c>
      <c r="AV9" s="144" t="s">
        <v>111</v>
      </c>
      <c r="AW9" s="132"/>
      <c r="AX9" s="135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5"/>
      <c r="BJ9" s="135"/>
      <c r="BK9" s="132"/>
      <c r="BL9" s="132"/>
      <c r="BM9" s="132"/>
      <c r="BN9" s="132"/>
      <c r="BO9" s="132"/>
      <c r="BP9" s="138"/>
      <c r="BQ9" s="138"/>
      <c r="BR9" s="138"/>
      <c r="BS9" s="391"/>
      <c r="BT9" s="392"/>
      <c r="BU9" s="392"/>
      <c r="BV9" s="392"/>
      <c r="BW9" s="393"/>
      <c r="BX9" s="387" t="s">
        <v>112</v>
      </c>
      <c r="BY9" s="387"/>
      <c r="BZ9" s="387"/>
      <c r="CA9" s="387"/>
      <c r="CB9" s="387"/>
      <c r="CC9" s="387" t="str">
        <f>IF(Profissao="Bardo",Estagio+CAR,IF(BS9&gt;0,BS9+CAR,""))</f>
        <v/>
      </c>
      <c r="CD9" s="387"/>
      <c r="CE9" s="387"/>
      <c r="CF9" s="387"/>
      <c r="CG9" s="405"/>
      <c r="CI9" s="382">
        <f>1+IF(Características!$C$13="Guerreiro",1,0)</f>
        <v>1</v>
      </c>
      <c r="CJ9" s="382"/>
      <c r="CK9" s="382"/>
      <c r="CL9" s="382"/>
      <c r="CM9" s="382"/>
      <c r="CN9" s="142">
        <f t="shared" ref="CN9:CN15" si="1">BS9*CI9</f>
        <v>0</v>
      </c>
      <c r="CQ9" s="142" t="s">
        <v>103</v>
      </c>
      <c r="CR9" s="142" t="s">
        <v>524</v>
      </c>
      <c r="CS9" s="315">
        <f t="shared" ref="CS9:CS13" si="2">CT9</f>
        <v>14</v>
      </c>
      <c r="CT9" s="237">
        <v>14</v>
      </c>
      <c r="CU9" s="255">
        <v>1.6</v>
      </c>
      <c r="CV9" s="256">
        <f t="shared" ref="CV9:CV13" si="3">CT9/CU9</f>
        <v>8.75</v>
      </c>
    </row>
    <row r="10" spans="2:100" ht="14.25" customHeight="1" x14ac:dyDescent="0.3">
      <c r="B10" s="143" t="s">
        <v>3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391"/>
      <c r="Z10" s="392"/>
      <c r="AA10" s="392"/>
      <c r="AB10" s="392"/>
      <c r="AC10" s="393"/>
      <c r="AD10" s="388" t="s">
        <v>109</v>
      </c>
      <c r="AE10" s="389"/>
      <c r="AF10" s="389"/>
      <c r="AG10" s="389"/>
      <c r="AH10" s="396"/>
      <c r="AI10" s="388" t="str">
        <f>IF(Y10&gt;0,Y10+AGI,"")</f>
        <v/>
      </c>
      <c r="AJ10" s="389"/>
      <c r="AK10" s="389"/>
      <c r="AL10" s="389"/>
      <c r="AM10" s="390"/>
      <c r="AO10" s="382">
        <f>1+IF(Características!$C$13="Rastreador",1,0)</f>
        <v>1</v>
      </c>
      <c r="AP10" s="382"/>
      <c r="AQ10" s="382"/>
      <c r="AR10" s="382"/>
      <c r="AS10" s="382"/>
      <c r="AT10" s="142">
        <f t="shared" ref="AT10" si="4">Y10*AO10</f>
        <v>0</v>
      </c>
      <c r="AV10" s="144" t="s">
        <v>259</v>
      </c>
      <c r="AW10" s="132"/>
      <c r="AX10" s="135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5"/>
      <c r="BJ10" s="135"/>
      <c r="BK10" s="132"/>
      <c r="BL10" s="132"/>
      <c r="BM10" s="132"/>
      <c r="BN10" s="132"/>
      <c r="BO10" s="132"/>
      <c r="BP10" s="138"/>
      <c r="BQ10" s="138"/>
      <c r="BR10" s="138"/>
      <c r="BS10" s="391"/>
      <c r="BT10" s="392"/>
      <c r="BU10" s="392"/>
      <c r="BV10" s="392"/>
      <c r="BW10" s="393"/>
      <c r="BX10" s="387" t="s">
        <v>508</v>
      </c>
      <c r="BY10" s="387"/>
      <c r="BZ10" s="387"/>
      <c r="CA10" s="387"/>
      <c r="CB10" s="387"/>
      <c r="CC10" s="387" t="str">
        <f>IF(BS10&gt;0,BS10+CAR,"")</f>
        <v/>
      </c>
      <c r="CD10" s="387"/>
      <c r="CE10" s="387"/>
      <c r="CF10" s="387"/>
      <c r="CG10" s="405"/>
      <c r="CI10" s="382">
        <f>2+IF(Características!$C$13="Guerreiro",1,0)</f>
        <v>2</v>
      </c>
      <c r="CJ10" s="382"/>
      <c r="CK10" s="382"/>
      <c r="CL10" s="382"/>
      <c r="CM10" s="382"/>
      <c r="CN10" s="142">
        <f t="shared" ref="CN10" si="5">BS10*CI10</f>
        <v>0</v>
      </c>
      <c r="CQ10" s="142" t="s">
        <v>106</v>
      </c>
      <c r="CR10" s="232" t="s">
        <v>137</v>
      </c>
      <c r="CS10" s="315">
        <f t="shared" si="2"/>
        <v>12</v>
      </c>
      <c r="CT10" s="237">
        <v>12</v>
      </c>
      <c r="CU10" s="255">
        <v>1.5</v>
      </c>
      <c r="CV10" s="256">
        <f t="shared" si="3"/>
        <v>8</v>
      </c>
    </row>
    <row r="11" spans="2:100" ht="14.25" customHeight="1" x14ac:dyDescent="0.3">
      <c r="B11" s="143" t="s">
        <v>474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391"/>
      <c r="Z11" s="392"/>
      <c r="AA11" s="392"/>
      <c r="AB11" s="392"/>
      <c r="AC11" s="393"/>
      <c r="AD11" s="388" t="s">
        <v>506</v>
      </c>
      <c r="AE11" s="389"/>
      <c r="AF11" s="389"/>
      <c r="AG11" s="389"/>
      <c r="AH11" s="396"/>
      <c r="AI11" s="388" t="str">
        <f>IF(Y11&gt;0,Y11+INT,"")</f>
        <v/>
      </c>
      <c r="AJ11" s="389"/>
      <c r="AK11" s="389"/>
      <c r="AL11" s="389"/>
      <c r="AM11" s="390"/>
      <c r="AO11" s="382">
        <f>2+IF(Características!$C$13="Rastreador",1,0)</f>
        <v>2</v>
      </c>
      <c r="AP11" s="382"/>
      <c r="AQ11" s="382"/>
      <c r="AR11" s="382"/>
      <c r="AS11" s="382"/>
      <c r="AT11" s="142">
        <f t="shared" si="0"/>
        <v>0</v>
      </c>
      <c r="AV11" s="144" t="s">
        <v>57</v>
      </c>
      <c r="AW11" s="132"/>
      <c r="AX11" s="135"/>
      <c r="AY11" s="135"/>
      <c r="AZ11" s="135"/>
      <c r="BA11" s="135"/>
      <c r="BB11" s="135"/>
      <c r="BC11" s="135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8"/>
      <c r="BQ11" s="138"/>
      <c r="BR11" s="138"/>
      <c r="BS11" s="391"/>
      <c r="BT11" s="392"/>
      <c r="BU11" s="392"/>
      <c r="BV11" s="392"/>
      <c r="BW11" s="393"/>
      <c r="BX11" s="382" t="s">
        <v>112</v>
      </c>
      <c r="BY11" s="382"/>
      <c r="BZ11" s="382"/>
      <c r="CA11" s="382"/>
      <c r="CB11" s="382"/>
      <c r="CC11" s="382" t="str">
        <f>IF(BS11&gt;0,BS11+CAR,"")</f>
        <v/>
      </c>
      <c r="CD11" s="382"/>
      <c r="CE11" s="382"/>
      <c r="CF11" s="382"/>
      <c r="CG11" s="386"/>
      <c r="CI11" s="382">
        <f>1+IF(Características!$C$13="Guerreiro",1,0)</f>
        <v>1</v>
      </c>
      <c r="CJ11" s="382"/>
      <c r="CK11" s="382"/>
      <c r="CL11" s="382"/>
      <c r="CM11" s="382"/>
      <c r="CN11" s="142">
        <f t="shared" si="1"/>
        <v>0</v>
      </c>
      <c r="CQ11" s="142" t="s">
        <v>107</v>
      </c>
      <c r="CR11" s="232" t="s">
        <v>11</v>
      </c>
      <c r="CS11" s="315">
        <f t="shared" si="2"/>
        <v>14</v>
      </c>
      <c r="CT11" s="237">
        <v>14</v>
      </c>
      <c r="CU11" s="255">
        <v>1.6</v>
      </c>
      <c r="CV11" s="256">
        <f t="shared" si="3"/>
        <v>8.75</v>
      </c>
    </row>
    <row r="12" spans="2:100" ht="14.25" customHeight="1" x14ac:dyDescent="0.3">
      <c r="B12" s="143" t="s">
        <v>58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5"/>
      <c r="U12" s="135"/>
      <c r="V12" s="135"/>
      <c r="W12" s="135"/>
      <c r="X12" s="135"/>
      <c r="Y12" s="391"/>
      <c r="Z12" s="392"/>
      <c r="AA12" s="392"/>
      <c r="AB12" s="392"/>
      <c r="AC12" s="393"/>
      <c r="AD12" s="388" t="s">
        <v>399</v>
      </c>
      <c r="AE12" s="389"/>
      <c r="AF12" s="389"/>
      <c r="AG12" s="389"/>
      <c r="AH12" s="396"/>
      <c r="AI12" s="388" t="str">
        <f>IF(Y12&gt;0,Y12+INT,"")</f>
        <v/>
      </c>
      <c r="AJ12" s="389"/>
      <c r="AK12" s="389"/>
      <c r="AL12" s="389"/>
      <c r="AM12" s="390"/>
      <c r="AO12" s="382">
        <f>1+IF(Características!$C$13="Rastreador",1,0)</f>
        <v>1</v>
      </c>
      <c r="AP12" s="382"/>
      <c r="AQ12" s="382"/>
      <c r="AR12" s="382"/>
      <c r="AS12" s="382"/>
      <c r="AT12" s="142">
        <f t="shared" si="0"/>
        <v>0</v>
      </c>
      <c r="AV12" s="144" t="s">
        <v>526</v>
      </c>
      <c r="AW12" s="132"/>
      <c r="AX12" s="135"/>
      <c r="AY12" s="135"/>
      <c r="AZ12" s="135"/>
      <c r="BA12" s="135"/>
      <c r="BB12" s="135"/>
      <c r="BC12" s="135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8"/>
      <c r="BQ12" s="138"/>
      <c r="BR12" s="138"/>
      <c r="BS12" s="391"/>
      <c r="BT12" s="392"/>
      <c r="BU12" s="392"/>
      <c r="BV12" s="392"/>
      <c r="BW12" s="393"/>
      <c r="BX12" s="382" t="s">
        <v>507</v>
      </c>
      <c r="BY12" s="382"/>
      <c r="BZ12" s="382"/>
      <c r="CA12" s="382"/>
      <c r="CB12" s="382"/>
      <c r="CC12" s="382" t="str">
        <f>IF(BS12&gt;0,BS12+PER,"")</f>
        <v/>
      </c>
      <c r="CD12" s="382"/>
      <c r="CE12" s="382"/>
      <c r="CF12" s="382"/>
      <c r="CG12" s="386"/>
      <c r="CI12" s="382">
        <f>2+IF(Características!$C$13="Guerreiro",1,0)</f>
        <v>2</v>
      </c>
      <c r="CJ12" s="382"/>
      <c r="CK12" s="382"/>
      <c r="CL12" s="382"/>
      <c r="CM12" s="382"/>
      <c r="CN12" s="142">
        <f t="shared" si="1"/>
        <v>0</v>
      </c>
      <c r="CQ12" s="142" t="s">
        <v>105</v>
      </c>
      <c r="CR12" s="232" t="s">
        <v>136</v>
      </c>
      <c r="CS12" s="315">
        <f t="shared" si="2"/>
        <v>12</v>
      </c>
      <c r="CT12" s="237">
        <v>12</v>
      </c>
      <c r="CU12" s="255">
        <v>1.6</v>
      </c>
      <c r="CV12" s="256">
        <f t="shared" si="3"/>
        <v>7.5</v>
      </c>
    </row>
    <row r="13" spans="2:100" ht="14.25" customHeight="1" x14ac:dyDescent="0.25">
      <c r="B13" s="143" t="s">
        <v>476</v>
      </c>
      <c r="C13" s="132"/>
      <c r="D13" s="132"/>
      <c r="E13" s="132"/>
      <c r="F13" s="132"/>
      <c r="G13" s="132"/>
      <c r="H13" s="132"/>
      <c r="I13" s="132"/>
      <c r="J13" s="132"/>
      <c r="K13" s="135"/>
      <c r="L13" s="135"/>
      <c r="M13" s="135"/>
      <c r="N13" s="132"/>
      <c r="O13" s="132"/>
      <c r="P13" s="132"/>
      <c r="Q13" s="132"/>
      <c r="R13" s="132"/>
      <c r="S13" s="132"/>
      <c r="T13" s="135"/>
      <c r="U13" s="135"/>
      <c r="V13" s="135"/>
      <c r="W13" s="135"/>
      <c r="X13" s="135"/>
      <c r="Y13" s="391"/>
      <c r="Z13" s="392"/>
      <c r="AA13" s="392"/>
      <c r="AB13" s="392"/>
      <c r="AC13" s="393"/>
      <c r="AD13" s="388" t="s">
        <v>670</v>
      </c>
      <c r="AE13" s="389"/>
      <c r="AF13" s="389"/>
      <c r="AG13" s="389"/>
      <c r="AH13" s="396"/>
      <c r="AI13" s="388" t="str">
        <f>IF(Y13&gt;0,Y13+FIS,"")</f>
        <v/>
      </c>
      <c r="AJ13" s="389"/>
      <c r="AK13" s="389"/>
      <c r="AL13" s="389"/>
      <c r="AM13" s="390"/>
      <c r="AO13" s="382">
        <f>2+IF(Características!$C$13="Rastreador",1,0)</f>
        <v>2</v>
      </c>
      <c r="AP13" s="382"/>
      <c r="AQ13" s="382"/>
      <c r="AR13" s="382"/>
      <c r="AS13" s="382"/>
      <c r="AT13" s="142">
        <f t="shared" si="0"/>
        <v>0</v>
      </c>
      <c r="AV13" s="144" t="s">
        <v>12</v>
      </c>
      <c r="AW13" s="133"/>
      <c r="AX13" s="135"/>
      <c r="AY13" s="132"/>
      <c r="AZ13" s="132"/>
      <c r="BA13" s="132"/>
      <c r="BB13" s="132"/>
      <c r="BC13" s="135"/>
      <c r="BD13" s="135"/>
      <c r="BE13" s="135"/>
      <c r="BF13" s="135"/>
      <c r="BG13" s="132"/>
      <c r="BH13" s="132"/>
      <c r="BI13" s="132"/>
      <c r="BJ13" s="132"/>
      <c r="BK13" s="132"/>
      <c r="BL13" s="132"/>
      <c r="BM13" s="132"/>
      <c r="BN13" s="132"/>
      <c r="BO13" s="132"/>
      <c r="BP13" s="138"/>
      <c r="BQ13" s="138"/>
      <c r="BR13" s="138"/>
      <c r="BS13" s="391"/>
      <c r="BT13" s="392"/>
      <c r="BU13" s="392"/>
      <c r="BV13" s="392"/>
      <c r="BW13" s="393"/>
      <c r="BX13" s="382" t="s">
        <v>112</v>
      </c>
      <c r="BY13" s="382"/>
      <c r="BZ13" s="382"/>
      <c r="CA13" s="382"/>
      <c r="CB13" s="382"/>
      <c r="CC13" s="382" t="str">
        <f>IF(BS13&gt;0,BS13+CAR,"")</f>
        <v/>
      </c>
      <c r="CD13" s="382"/>
      <c r="CE13" s="382"/>
      <c r="CF13" s="382"/>
      <c r="CG13" s="386"/>
      <c r="CI13" s="413">
        <f>1+IF(Características!$C$13="Guerreiro",1,0)</f>
        <v>1</v>
      </c>
      <c r="CJ13" s="414"/>
      <c r="CK13" s="414"/>
      <c r="CL13" s="414"/>
      <c r="CM13" s="417"/>
      <c r="CN13" s="142">
        <f t="shared" si="1"/>
        <v>0</v>
      </c>
      <c r="CQ13" s="142" t="s">
        <v>104</v>
      </c>
      <c r="CR13" s="236" t="s">
        <v>1</v>
      </c>
      <c r="CS13" s="315">
        <f t="shared" si="2"/>
        <v>22</v>
      </c>
      <c r="CT13" s="315">
        <v>22</v>
      </c>
      <c r="CU13" s="255">
        <v>1.4</v>
      </c>
      <c r="CV13" s="256">
        <f t="shared" si="3"/>
        <v>15.714285714285715</v>
      </c>
    </row>
    <row r="14" spans="2:100" ht="14.25" customHeight="1" x14ac:dyDescent="0.3">
      <c r="B14" s="143" t="s">
        <v>2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2"/>
      <c r="N14" s="135"/>
      <c r="O14" s="135"/>
      <c r="P14" s="135"/>
      <c r="Q14" s="135"/>
      <c r="R14" s="132"/>
      <c r="S14" s="132"/>
      <c r="T14" s="135"/>
      <c r="U14" s="135"/>
      <c r="V14" s="135"/>
      <c r="W14" s="135"/>
      <c r="X14" s="135"/>
      <c r="Y14" s="391"/>
      <c r="Z14" s="392"/>
      <c r="AA14" s="392"/>
      <c r="AB14" s="392"/>
      <c r="AC14" s="393"/>
      <c r="AD14" s="388" t="s">
        <v>509</v>
      </c>
      <c r="AE14" s="389"/>
      <c r="AF14" s="389"/>
      <c r="AG14" s="389"/>
      <c r="AH14" s="396"/>
      <c r="AI14" s="413" t="str">
        <f>IF(Y14&gt;0,Y14+AGI,"")</f>
        <v/>
      </c>
      <c r="AJ14" s="414"/>
      <c r="AK14" s="414"/>
      <c r="AL14" s="414"/>
      <c r="AM14" s="415"/>
      <c r="AO14" s="382">
        <f>2+IF(Características!$C$13="Rastreador",1,0)</f>
        <v>2</v>
      </c>
      <c r="AP14" s="382"/>
      <c r="AQ14" s="382"/>
      <c r="AR14" s="382"/>
      <c r="AS14" s="382"/>
      <c r="AT14" s="142">
        <f t="shared" ref="AT14" si="6">Y14*AO14</f>
        <v>0</v>
      </c>
      <c r="AV14" s="144" t="s">
        <v>522</v>
      </c>
      <c r="AW14" s="135"/>
      <c r="AX14" s="135"/>
      <c r="AY14" s="132"/>
      <c r="AZ14" s="132"/>
      <c r="BA14" s="132"/>
      <c r="BB14" s="132"/>
      <c r="BC14" s="135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8"/>
      <c r="BQ14" s="138"/>
      <c r="BR14" s="138"/>
      <c r="BS14" s="391"/>
      <c r="BT14" s="392"/>
      <c r="BU14" s="392"/>
      <c r="BV14" s="392"/>
      <c r="BW14" s="393"/>
      <c r="BX14" s="382" t="s">
        <v>112</v>
      </c>
      <c r="BY14" s="382"/>
      <c r="BZ14" s="382"/>
      <c r="CA14" s="382"/>
      <c r="CB14" s="382"/>
      <c r="CC14" s="382" t="str">
        <f>IF(BS14&gt;0,BS14+CAR,"")</f>
        <v/>
      </c>
      <c r="CD14" s="382"/>
      <c r="CE14" s="382"/>
      <c r="CF14" s="382"/>
      <c r="CG14" s="386"/>
      <c r="CI14" s="413">
        <f>1+IF(Características!$C$13="Guerreiro",1,0)</f>
        <v>1</v>
      </c>
      <c r="CJ14" s="414"/>
      <c r="CK14" s="414"/>
      <c r="CL14" s="414"/>
      <c r="CM14" s="417"/>
      <c r="CN14" s="142">
        <f t="shared" ref="CN14" si="7">BS14*CI14</f>
        <v>0</v>
      </c>
      <c r="CQ14" s="236"/>
      <c r="CR14" s="236"/>
    </row>
    <row r="15" spans="2:100" ht="14.25" customHeight="1" thickBot="1" x14ac:dyDescent="0.25">
      <c r="B15" s="143" t="s">
        <v>525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2"/>
      <c r="N15" s="135"/>
      <c r="O15" s="135"/>
      <c r="P15" s="135"/>
      <c r="Q15" s="135"/>
      <c r="R15" s="132"/>
      <c r="S15" s="132"/>
      <c r="T15" s="135"/>
      <c r="U15" s="135"/>
      <c r="V15" s="135"/>
      <c r="W15" s="135"/>
      <c r="X15" s="135"/>
      <c r="Y15" s="406"/>
      <c r="Z15" s="407"/>
      <c r="AA15" s="407"/>
      <c r="AB15" s="407"/>
      <c r="AC15" s="408"/>
      <c r="AD15" s="398" t="s">
        <v>110</v>
      </c>
      <c r="AE15" s="399"/>
      <c r="AF15" s="399"/>
      <c r="AG15" s="399"/>
      <c r="AH15" s="400"/>
      <c r="AI15" s="398" t="str">
        <f>IF(Y15&gt;0,Y15+PER,"")</f>
        <v/>
      </c>
      <c r="AJ15" s="399"/>
      <c r="AK15" s="399"/>
      <c r="AL15" s="399"/>
      <c r="AM15" s="412"/>
      <c r="AO15" s="382">
        <f>1+IF(Características!$C$13="Rastreador",1,0)</f>
        <v>1</v>
      </c>
      <c r="AP15" s="382"/>
      <c r="AQ15" s="382"/>
      <c r="AR15" s="382"/>
      <c r="AS15" s="382"/>
      <c r="AT15" s="142">
        <f t="shared" si="0"/>
        <v>0</v>
      </c>
      <c r="AV15" s="144" t="s">
        <v>4</v>
      </c>
      <c r="AW15" s="135"/>
      <c r="AX15" s="135"/>
      <c r="AY15" s="132"/>
      <c r="AZ15" s="132"/>
      <c r="BA15" s="132"/>
      <c r="BB15" s="132"/>
      <c r="BC15" s="135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8"/>
      <c r="BQ15" s="138"/>
      <c r="BR15" s="138"/>
      <c r="BS15" s="391"/>
      <c r="BT15" s="392"/>
      <c r="BU15" s="392"/>
      <c r="BV15" s="392"/>
      <c r="BW15" s="393"/>
      <c r="BX15" s="382" t="s">
        <v>112</v>
      </c>
      <c r="BY15" s="382"/>
      <c r="BZ15" s="382"/>
      <c r="CA15" s="382"/>
      <c r="CB15" s="382"/>
      <c r="CC15" s="382" t="str">
        <f>IF(BS15&gt;0,BS15+CAR,"")</f>
        <v/>
      </c>
      <c r="CD15" s="382"/>
      <c r="CE15" s="382"/>
      <c r="CF15" s="382"/>
      <c r="CG15" s="386"/>
      <c r="CI15" s="413">
        <f>2+IF(Características!$C$13="Guerreiro",1,0)</f>
        <v>2</v>
      </c>
      <c r="CJ15" s="414"/>
      <c r="CK15" s="414"/>
      <c r="CL15" s="414"/>
      <c r="CM15" s="417"/>
      <c r="CN15" s="142">
        <f t="shared" si="1"/>
        <v>0</v>
      </c>
      <c r="CQ15" s="142"/>
      <c r="CR15" s="142"/>
    </row>
    <row r="16" spans="2:100" ht="14.25" customHeight="1" thickBot="1" x14ac:dyDescent="0.25">
      <c r="B16" s="124" t="s">
        <v>523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40"/>
      <c r="Y16" s="394" t="s">
        <v>19</v>
      </c>
      <c r="Z16" s="395"/>
      <c r="AA16" s="395"/>
      <c r="AB16" s="395"/>
      <c r="AC16" s="395"/>
      <c r="AD16" s="409" t="s">
        <v>35</v>
      </c>
      <c r="AE16" s="410"/>
      <c r="AF16" s="410"/>
      <c r="AG16" s="410"/>
      <c r="AH16" s="411"/>
      <c r="AI16" s="395" t="s">
        <v>17</v>
      </c>
      <c r="AJ16" s="395"/>
      <c r="AK16" s="395"/>
      <c r="AL16" s="395"/>
      <c r="AM16" s="397"/>
      <c r="AO16" s="381" t="s">
        <v>114</v>
      </c>
      <c r="AP16" s="381"/>
      <c r="AQ16" s="381"/>
      <c r="AR16" s="381"/>
      <c r="AS16" s="381"/>
      <c r="AT16" s="142" t="s">
        <v>478</v>
      </c>
      <c r="AV16" s="124" t="s">
        <v>61</v>
      </c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40"/>
      <c r="BS16" s="394" t="s">
        <v>19</v>
      </c>
      <c r="BT16" s="395"/>
      <c r="BU16" s="395"/>
      <c r="BV16" s="395"/>
      <c r="BW16" s="395"/>
      <c r="BX16" s="409" t="s">
        <v>35</v>
      </c>
      <c r="BY16" s="410"/>
      <c r="BZ16" s="410"/>
      <c r="CA16" s="410"/>
      <c r="CB16" s="411"/>
      <c r="CC16" s="395" t="s">
        <v>17</v>
      </c>
      <c r="CD16" s="395"/>
      <c r="CE16" s="395"/>
      <c r="CF16" s="395"/>
      <c r="CG16" s="397"/>
      <c r="CI16" s="416"/>
      <c r="CJ16" s="416"/>
      <c r="CK16" s="416"/>
      <c r="CL16" s="416"/>
      <c r="CM16" s="416"/>
      <c r="CN16" s="142"/>
    </row>
    <row r="17" spans="2:96" ht="14.25" customHeight="1" x14ac:dyDescent="0.3">
      <c r="B17" s="143" t="s">
        <v>6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391"/>
      <c r="Z17" s="392"/>
      <c r="AA17" s="392"/>
      <c r="AB17" s="392"/>
      <c r="AC17" s="393"/>
      <c r="AD17" s="388" t="s">
        <v>109</v>
      </c>
      <c r="AE17" s="389"/>
      <c r="AF17" s="389"/>
      <c r="AG17" s="389"/>
      <c r="AH17" s="396"/>
      <c r="AI17" s="388" t="str">
        <f>IF(Y17&gt;0,Y17+AGI,"")</f>
        <v/>
      </c>
      <c r="AJ17" s="389"/>
      <c r="AK17" s="389"/>
      <c r="AL17" s="389"/>
      <c r="AM17" s="390"/>
      <c r="AO17" s="382">
        <f>1+IF(Características!$C$13="Mago",1,0)</f>
        <v>1</v>
      </c>
      <c r="AP17" s="382"/>
      <c r="AQ17" s="382"/>
      <c r="AR17" s="382"/>
      <c r="AS17" s="382"/>
      <c r="AT17" s="142">
        <f t="shared" ref="AT17:AT23" si="8">Y17*AO17</f>
        <v>0</v>
      </c>
      <c r="AV17" s="144" t="s">
        <v>477</v>
      </c>
      <c r="AW17" s="132"/>
      <c r="AX17" s="135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5"/>
      <c r="BJ17" s="135"/>
      <c r="BK17" s="132"/>
      <c r="BL17" s="132"/>
      <c r="BM17" s="132"/>
      <c r="BN17" s="132"/>
      <c r="BO17" s="132"/>
      <c r="BP17" s="138"/>
      <c r="BQ17" s="138"/>
      <c r="BR17" s="138"/>
      <c r="BS17" s="391"/>
      <c r="BT17" s="392"/>
      <c r="BU17" s="392"/>
      <c r="BV17" s="392"/>
      <c r="BW17" s="393"/>
      <c r="BX17" s="387" t="s">
        <v>506</v>
      </c>
      <c r="BY17" s="387"/>
      <c r="BZ17" s="387"/>
      <c r="CA17" s="387"/>
      <c r="CB17" s="387"/>
      <c r="CC17" s="387" t="str">
        <f>IF(BS17&gt;0,BS17+INT,"")</f>
        <v/>
      </c>
      <c r="CD17" s="387"/>
      <c r="CE17" s="387"/>
      <c r="CF17" s="387"/>
      <c r="CG17" s="405"/>
      <c r="CI17" s="382">
        <v>2</v>
      </c>
      <c r="CJ17" s="382"/>
      <c r="CK17" s="382"/>
      <c r="CL17" s="382"/>
      <c r="CM17" s="382"/>
      <c r="CN17" s="142">
        <f t="shared" ref="CN17:CN23" si="9">BS17*CI17</f>
        <v>0</v>
      </c>
      <c r="CQ17" s="380" t="s">
        <v>669</v>
      </c>
      <c r="CR17" s="142" t="e">
        <f>VLOOKUP(Profissao,CQ8:CR13,2,FALSE)</f>
        <v>#N/A</v>
      </c>
    </row>
    <row r="18" spans="2:96" ht="14.25" customHeight="1" x14ac:dyDescent="0.3">
      <c r="B18" s="143" t="s">
        <v>524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391"/>
      <c r="Z18" s="392"/>
      <c r="AA18" s="392"/>
      <c r="AB18" s="392"/>
      <c r="AC18" s="393"/>
      <c r="AD18" s="388" t="s">
        <v>119</v>
      </c>
      <c r="AE18" s="389"/>
      <c r="AF18" s="389"/>
      <c r="AG18" s="389"/>
      <c r="AH18" s="396"/>
      <c r="AI18" s="388" t="str">
        <f>IF(Profissao="Guerreiro",Estagio+FOR,IF(Y18&gt;0,Y18+FOR,""))</f>
        <v/>
      </c>
      <c r="AJ18" s="389"/>
      <c r="AK18" s="389"/>
      <c r="AL18" s="389"/>
      <c r="AM18" s="390"/>
      <c r="AO18" s="382">
        <f>1+IF(Características!$C$13="Mago",1,0)</f>
        <v>1</v>
      </c>
      <c r="AP18" s="382"/>
      <c r="AQ18" s="382"/>
      <c r="AR18" s="382"/>
      <c r="AS18" s="382"/>
      <c r="AT18" s="142">
        <f t="shared" si="8"/>
        <v>0</v>
      </c>
      <c r="AV18" s="144" t="s">
        <v>530</v>
      </c>
      <c r="AW18" s="132"/>
      <c r="AX18" s="135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5"/>
      <c r="BJ18" s="135"/>
      <c r="BK18" s="132"/>
      <c r="BL18" s="132"/>
      <c r="BM18" s="132"/>
      <c r="BN18" s="132"/>
      <c r="BO18" s="132"/>
      <c r="BP18" s="138"/>
      <c r="BQ18" s="138"/>
      <c r="BR18" s="138"/>
      <c r="BS18" s="391"/>
      <c r="BT18" s="392"/>
      <c r="BU18" s="392"/>
      <c r="BV18" s="392"/>
      <c r="BW18" s="393"/>
      <c r="BX18" s="387" t="s">
        <v>506</v>
      </c>
      <c r="BY18" s="387"/>
      <c r="BZ18" s="387"/>
      <c r="CA18" s="387"/>
      <c r="CB18" s="387"/>
      <c r="CC18" s="387" t="str">
        <f>IF(BS18&gt;0,BS18+INT,"")</f>
        <v/>
      </c>
      <c r="CD18" s="387"/>
      <c r="CE18" s="387"/>
      <c r="CF18" s="387"/>
      <c r="CG18" s="405"/>
      <c r="CI18" s="382">
        <v>2</v>
      </c>
      <c r="CJ18" s="382"/>
      <c r="CK18" s="382"/>
      <c r="CL18" s="382"/>
      <c r="CM18" s="382"/>
      <c r="CN18" s="142">
        <f t="shared" si="9"/>
        <v>0</v>
      </c>
      <c r="CQ18" s="380"/>
      <c r="CR18" s="142"/>
    </row>
    <row r="19" spans="2:96" ht="14.25" customHeight="1" x14ac:dyDescent="0.3">
      <c r="B19" s="143" t="s">
        <v>8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391"/>
      <c r="Z19" s="392"/>
      <c r="AA19" s="392"/>
      <c r="AB19" s="392"/>
      <c r="AC19" s="393"/>
      <c r="AD19" s="388" t="s">
        <v>527</v>
      </c>
      <c r="AE19" s="389"/>
      <c r="AF19" s="389"/>
      <c r="AG19" s="389"/>
      <c r="AH19" s="396"/>
      <c r="AI19" s="388" t="str">
        <f>IF(Y19&gt;0,Y19+FIS,"")</f>
        <v/>
      </c>
      <c r="AJ19" s="389"/>
      <c r="AK19" s="389"/>
      <c r="AL19" s="389"/>
      <c r="AM19" s="390"/>
      <c r="AO19" s="382">
        <f>2+IF(Características!$C$13="Mago",1,0)</f>
        <v>2</v>
      </c>
      <c r="AP19" s="382"/>
      <c r="AQ19" s="382"/>
      <c r="AR19" s="382"/>
      <c r="AS19" s="382"/>
      <c r="AT19" s="142">
        <f t="shared" si="8"/>
        <v>0</v>
      </c>
      <c r="AV19" s="144" t="s">
        <v>475</v>
      </c>
      <c r="AW19" s="132"/>
      <c r="AX19" s="135"/>
      <c r="AY19" s="135"/>
      <c r="AZ19" s="135"/>
      <c r="BA19" s="135"/>
      <c r="BB19" s="135"/>
      <c r="BC19" s="135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8"/>
      <c r="BQ19" s="138"/>
      <c r="BR19" s="138"/>
      <c r="BS19" s="391"/>
      <c r="BT19" s="392"/>
      <c r="BU19" s="392"/>
      <c r="BV19" s="392"/>
      <c r="BW19" s="393"/>
      <c r="BX19" s="382" t="s">
        <v>531</v>
      </c>
      <c r="BY19" s="382"/>
      <c r="BZ19" s="382"/>
      <c r="CA19" s="382"/>
      <c r="CB19" s="382"/>
      <c r="CC19" s="382" t="str">
        <f>IF(BS19&gt;0,BS19+INT,"")</f>
        <v/>
      </c>
      <c r="CD19" s="382"/>
      <c r="CE19" s="382"/>
      <c r="CF19" s="382"/>
      <c r="CG19" s="386"/>
      <c r="CI19" s="382">
        <v>1</v>
      </c>
      <c r="CJ19" s="382"/>
      <c r="CK19" s="382"/>
      <c r="CL19" s="382"/>
      <c r="CM19" s="382"/>
      <c r="CN19" s="142">
        <f t="shared" si="9"/>
        <v>0</v>
      </c>
      <c r="CQ19" s="380"/>
      <c r="CR19" s="142"/>
    </row>
    <row r="20" spans="2:96" ht="14.25" customHeight="1" x14ac:dyDescent="0.3">
      <c r="B20" s="143" t="s">
        <v>26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5"/>
      <c r="U20" s="135"/>
      <c r="V20" s="135"/>
      <c r="W20" s="135"/>
      <c r="X20" s="135"/>
      <c r="Y20" s="391"/>
      <c r="Z20" s="392"/>
      <c r="AA20" s="392"/>
      <c r="AB20" s="392"/>
      <c r="AC20" s="393"/>
      <c r="AD20" s="388" t="s">
        <v>528</v>
      </c>
      <c r="AE20" s="389"/>
      <c r="AF20" s="389"/>
      <c r="AG20" s="389"/>
      <c r="AH20" s="396"/>
      <c r="AI20" s="388" t="str">
        <f>IF(Y20&gt;0,Y20+FOR,"")</f>
        <v/>
      </c>
      <c r="AJ20" s="389"/>
      <c r="AK20" s="389"/>
      <c r="AL20" s="389"/>
      <c r="AM20" s="390"/>
      <c r="AO20" s="382">
        <v>2</v>
      </c>
      <c r="AP20" s="382"/>
      <c r="AQ20" s="382"/>
      <c r="AR20" s="382"/>
      <c r="AS20" s="382"/>
      <c r="AT20" s="142">
        <f t="shared" si="8"/>
        <v>0</v>
      </c>
      <c r="AV20" s="144" t="s">
        <v>59</v>
      </c>
      <c r="AW20" s="132"/>
      <c r="AX20" s="135"/>
      <c r="AY20" s="135"/>
      <c r="AZ20" s="135"/>
      <c r="BA20" s="135"/>
      <c r="BB20" s="135"/>
      <c r="BC20" s="135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8"/>
      <c r="BQ20" s="138"/>
      <c r="BR20" s="138"/>
      <c r="BS20" s="391"/>
      <c r="BT20" s="392"/>
      <c r="BU20" s="392"/>
      <c r="BV20" s="392"/>
      <c r="BW20" s="393"/>
      <c r="BX20" s="382" t="s">
        <v>399</v>
      </c>
      <c r="BY20" s="382"/>
      <c r="BZ20" s="382"/>
      <c r="CA20" s="382"/>
      <c r="CB20" s="382"/>
      <c r="CC20" s="382" t="str">
        <f>IF(Profissao="Mago",Estagio+INT,IF(BS20&gt;0,BS20+INT,""))</f>
        <v/>
      </c>
      <c r="CD20" s="382"/>
      <c r="CE20" s="382"/>
      <c r="CF20" s="382"/>
      <c r="CG20" s="386"/>
      <c r="CI20" s="382">
        <v>1</v>
      </c>
      <c r="CJ20" s="382"/>
      <c r="CK20" s="382"/>
      <c r="CL20" s="382"/>
      <c r="CM20" s="382"/>
      <c r="CN20" s="142">
        <f t="shared" si="9"/>
        <v>0</v>
      </c>
    </row>
    <row r="21" spans="2:96" ht="14.25" customHeight="1" x14ac:dyDescent="0.2">
      <c r="B21" s="143" t="s">
        <v>20</v>
      </c>
      <c r="C21" s="132"/>
      <c r="D21" s="132"/>
      <c r="E21" s="132"/>
      <c r="F21" s="132"/>
      <c r="G21" s="132"/>
      <c r="H21" s="132"/>
      <c r="I21" s="132"/>
      <c r="J21" s="132"/>
      <c r="K21" s="135"/>
      <c r="L21" s="135"/>
      <c r="M21" s="135"/>
      <c r="N21" s="132"/>
      <c r="O21" s="132"/>
      <c r="P21" s="132"/>
      <c r="Q21" s="132"/>
      <c r="R21" s="132"/>
      <c r="S21" s="132"/>
      <c r="T21" s="135"/>
      <c r="U21" s="135"/>
      <c r="V21" s="135"/>
      <c r="W21" s="135"/>
      <c r="X21" s="135"/>
      <c r="Y21" s="391"/>
      <c r="Z21" s="392"/>
      <c r="AA21" s="392"/>
      <c r="AB21" s="392"/>
      <c r="AC21" s="393"/>
      <c r="AD21" s="388" t="s">
        <v>109</v>
      </c>
      <c r="AE21" s="389"/>
      <c r="AF21" s="389"/>
      <c r="AG21" s="389"/>
      <c r="AH21" s="396"/>
      <c r="AI21" s="388" t="str">
        <f>IF(Y21&gt;0,Y21+AGI,"")</f>
        <v/>
      </c>
      <c r="AJ21" s="389"/>
      <c r="AK21" s="389"/>
      <c r="AL21" s="389"/>
      <c r="AM21" s="390"/>
      <c r="AO21" s="382">
        <f>1+IF(Características!$C$13="Mago",1,0)</f>
        <v>1</v>
      </c>
      <c r="AP21" s="382"/>
      <c r="AQ21" s="382"/>
      <c r="AR21" s="382"/>
      <c r="AS21" s="382"/>
      <c r="AT21" s="142">
        <f t="shared" si="8"/>
        <v>0</v>
      </c>
      <c r="AV21" s="144" t="s">
        <v>60</v>
      </c>
      <c r="AW21" s="133"/>
      <c r="AX21" s="135"/>
      <c r="AY21" s="132"/>
      <c r="AZ21" s="132"/>
      <c r="BA21" s="132"/>
      <c r="BB21" s="132"/>
      <c r="BC21" s="135"/>
      <c r="BD21" s="135"/>
      <c r="BE21" s="135"/>
      <c r="BF21" s="135"/>
      <c r="BG21" s="132"/>
      <c r="BH21" s="132"/>
      <c r="BI21" s="132"/>
      <c r="BJ21" s="132"/>
      <c r="BK21" s="132"/>
      <c r="BL21" s="132"/>
      <c r="BM21" s="132"/>
      <c r="BN21" s="132"/>
      <c r="BO21" s="132"/>
      <c r="BP21" s="138"/>
      <c r="BQ21" s="138"/>
      <c r="BR21" s="138"/>
      <c r="BS21" s="391"/>
      <c r="BT21" s="392"/>
      <c r="BU21" s="392"/>
      <c r="BV21" s="392"/>
      <c r="BW21" s="393"/>
      <c r="BX21" s="382" t="s">
        <v>399</v>
      </c>
      <c r="BY21" s="382"/>
      <c r="BZ21" s="382"/>
      <c r="CA21" s="382"/>
      <c r="CB21" s="382"/>
      <c r="CC21" s="382" t="str">
        <f>IF(Profissao="Sacerdote",Estagio+INT,IF(BS21&gt;0,BS21+INT,""))</f>
        <v/>
      </c>
      <c r="CD21" s="382"/>
      <c r="CE21" s="382"/>
      <c r="CF21" s="382"/>
      <c r="CG21" s="386"/>
      <c r="CI21" s="413">
        <v>1</v>
      </c>
      <c r="CJ21" s="414"/>
      <c r="CK21" s="414"/>
      <c r="CL21" s="414"/>
      <c r="CM21" s="417"/>
      <c r="CN21" s="142">
        <f t="shared" si="9"/>
        <v>0</v>
      </c>
      <c r="CQ21" s="142"/>
      <c r="CR21" s="142"/>
    </row>
    <row r="22" spans="2:96" ht="14.25" customHeight="1" x14ac:dyDescent="0.3">
      <c r="B22" s="143" t="s">
        <v>7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2"/>
      <c r="N22" s="135"/>
      <c r="O22" s="135"/>
      <c r="P22" s="135"/>
      <c r="Q22" s="135"/>
      <c r="R22" s="132"/>
      <c r="S22" s="132"/>
      <c r="T22" s="135"/>
      <c r="U22" s="135"/>
      <c r="V22" s="135"/>
      <c r="W22" s="135"/>
      <c r="X22" s="135"/>
      <c r="Y22" s="391"/>
      <c r="Z22" s="392"/>
      <c r="AA22" s="392"/>
      <c r="AB22" s="392"/>
      <c r="AC22" s="393"/>
      <c r="AD22" s="388" t="s">
        <v>527</v>
      </c>
      <c r="AE22" s="389"/>
      <c r="AF22" s="389"/>
      <c r="AG22" s="389"/>
      <c r="AH22" s="396"/>
      <c r="AI22" s="413" t="str">
        <f>IF(Y22&gt;0,Y22+FIS,"")</f>
        <v/>
      </c>
      <c r="AJ22" s="414"/>
      <c r="AK22" s="414"/>
      <c r="AL22" s="414"/>
      <c r="AM22" s="415"/>
      <c r="AO22" s="382">
        <f>2+IF(Características!$C$13="Mago",1,0)</f>
        <v>2</v>
      </c>
      <c r="AP22" s="382"/>
      <c r="AQ22" s="382"/>
      <c r="AR22" s="382"/>
      <c r="AS22" s="382"/>
      <c r="AT22" s="142">
        <f t="shared" si="8"/>
        <v>0</v>
      </c>
      <c r="AV22" s="144" t="s">
        <v>532</v>
      </c>
      <c r="AW22" s="135"/>
      <c r="AX22" s="135"/>
      <c r="AY22" s="132"/>
      <c r="AZ22" s="132"/>
      <c r="BA22" s="132"/>
      <c r="BB22" s="132"/>
      <c r="BC22" s="135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8"/>
      <c r="BQ22" s="138"/>
      <c r="BR22" s="138"/>
      <c r="BS22" s="391"/>
      <c r="BT22" s="392"/>
      <c r="BU22" s="392"/>
      <c r="BV22" s="392"/>
      <c r="BW22" s="393"/>
      <c r="BX22" s="382" t="s">
        <v>508</v>
      </c>
      <c r="BY22" s="382"/>
      <c r="BZ22" s="382"/>
      <c r="CA22" s="382"/>
      <c r="CB22" s="382"/>
      <c r="CC22" s="382" t="str">
        <f>IF(BS22&gt;0,BS22+CAR,"")</f>
        <v/>
      </c>
      <c r="CD22" s="382"/>
      <c r="CE22" s="382"/>
      <c r="CF22" s="382"/>
      <c r="CG22" s="386"/>
      <c r="CI22" s="413">
        <v>2</v>
      </c>
      <c r="CJ22" s="414"/>
      <c r="CK22" s="414"/>
      <c r="CL22" s="414"/>
      <c r="CM22" s="417"/>
      <c r="CN22" s="142">
        <f t="shared" si="9"/>
        <v>0</v>
      </c>
      <c r="CQ22" s="378"/>
      <c r="CR22" s="379"/>
    </row>
    <row r="23" spans="2:96" ht="14.25" customHeight="1" thickBot="1" x14ac:dyDescent="0.25">
      <c r="B23" s="143" t="s">
        <v>9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2"/>
      <c r="N23" s="135"/>
      <c r="O23" s="135"/>
      <c r="P23" s="135"/>
      <c r="Q23" s="135"/>
      <c r="R23" s="132"/>
      <c r="S23" s="132"/>
      <c r="T23" s="135"/>
      <c r="U23" s="135"/>
      <c r="V23" s="135"/>
      <c r="W23" s="135"/>
      <c r="X23" s="135"/>
      <c r="Y23" s="406"/>
      <c r="Z23" s="407"/>
      <c r="AA23" s="407"/>
      <c r="AB23" s="407"/>
      <c r="AC23" s="408"/>
      <c r="AD23" s="398" t="s">
        <v>529</v>
      </c>
      <c r="AE23" s="399"/>
      <c r="AF23" s="399"/>
      <c r="AG23" s="399"/>
      <c r="AH23" s="400"/>
      <c r="AI23" s="398" t="str">
        <f>IF(Y23&gt;0,Y23+FIS,"")</f>
        <v/>
      </c>
      <c r="AJ23" s="399"/>
      <c r="AK23" s="399"/>
      <c r="AL23" s="399"/>
      <c r="AM23" s="412"/>
      <c r="AO23" s="382">
        <f>1+IF(Características!$C$13="Mago",1,0)</f>
        <v>1</v>
      </c>
      <c r="AP23" s="382"/>
      <c r="AQ23" s="382"/>
      <c r="AR23" s="382"/>
      <c r="AS23" s="382"/>
      <c r="AT23" s="142">
        <f t="shared" si="8"/>
        <v>0</v>
      </c>
      <c r="AV23" s="144" t="s">
        <v>42</v>
      </c>
      <c r="AW23" s="135"/>
      <c r="AX23" s="135"/>
      <c r="AY23" s="132"/>
      <c r="AZ23" s="132"/>
      <c r="BA23" s="132"/>
      <c r="BB23" s="132"/>
      <c r="BC23" s="135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8"/>
      <c r="BQ23" s="138"/>
      <c r="BR23" s="138"/>
      <c r="BS23" s="391"/>
      <c r="BT23" s="392"/>
      <c r="BU23" s="392"/>
      <c r="BV23" s="392"/>
      <c r="BW23" s="393"/>
      <c r="BX23" s="382" t="s">
        <v>399</v>
      </c>
      <c r="BY23" s="382"/>
      <c r="BZ23" s="382"/>
      <c r="CA23" s="382"/>
      <c r="CB23" s="382"/>
      <c r="CC23" s="382" t="str">
        <f>IF(BS23&gt;0,BS23+INT,"")</f>
        <v/>
      </c>
      <c r="CD23" s="382"/>
      <c r="CE23" s="382"/>
      <c r="CF23" s="382"/>
      <c r="CG23" s="386"/>
      <c r="CI23" s="413">
        <v>1</v>
      </c>
      <c r="CJ23" s="414"/>
      <c r="CK23" s="414"/>
      <c r="CL23" s="414"/>
      <c r="CM23" s="417"/>
      <c r="CN23" s="142">
        <f t="shared" si="9"/>
        <v>0</v>
      </c>
    </row>
    <row r="24" spans="2:96" ht="14.25" customHeight="1" thickBot="1" x14ac:dyDescent="0.25">
      <c r="B24" s="124" t="s">
        <v>13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40"/>
      <c r="Y24" s="394" t="s">
        <v>19</v>
      </c>
      <c r="Z24" s="395"/>
      <c r="AA24" s="395"/>
      <c r="AB24" s="395"/>
      <c r="AC24" s="395"/>
      <c r="AD24" s="409" t="s">
        <v>35</v>
      </c>
      <c r="AE24" s="410"/>
      <c r="AF24" s="410"/>
      <c r="AG24" s="410"/>
      <c r="AH24" s="411"/>
      <c r="AI24" s="395" t="s">
        <v>17</v>
      </c>
      <c r="AJ24" s="395"/>
      <c r="AK24" s="395"/>
      <c r="AL24" s="395"/>
      <c r="AM24" s="397"/>
      <c r="AO24" s="381" t="s">
        <v>114</v>
      </c>
      <c r="AP24" s="381"/>
      <c r="AQ24" s="381"/>
      <c r="AR24" s="381"/>
      <c r="AS24" s="381"/>
      <c r="AT24" s="142" t="s">
        <v>478</v>
      </c>
      <c r="AV24" s="124" t="s">
        <v>16</v>
      </c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40"/>
      <c r="BS24" s="394" t="s">
        <v>19</v>
      </c>
      <c r="BT24" s="395"/>
      <c r="BU24" s="395"/>
      <c r="BV24" s="395"/>
      <c r="BW24" s="395"/>
      <c r="BX24" s="409" t="s">
        <v>35</v>
      </c>
      <c r="BY24" s="410"/>
      <c r="BZ24" s="410"/>
      <c r="CA24" s="410"/>
      <c r="CB24" s="411"/>
      <c r="CC24" s="395" t="s">
        <v>17</v>
      </c>
      <c r="CD24" s="395"/>
      <c r="CE24" s="395"/>
      <c r="CF24" s="395"/>
      <c r="CG24" s="397"/>
      <c r="CI24" s="416"/>
      <c r="CJ24" s="416"/>
      <c r="CK24" s="416"/>
      <c r="CL24" s="416"/>
      <c r="CM24" s="416"/>
      <c r="CN24" s="142"/>
    </row>
    <row r="25" spans="2:96" ht="14.25" customHeight="1" x14ac:dyDescent="0.3">
      <c r="B25" s="143" t="s">
        <v>533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391"/>
      <c r="Z25" s="392"/>
      <c r="AA25" s="392"/>
      <c r="AB25" s="392"/>
      <c r="AC25" s="393"/>
      <c r="AD25" s="388" t="s">
        <v>509</v>
      </c>
      <c r="AE25" s="389"/>
      <c r="AF25" s="389"/>
      <c r="AG25" s="389"/>
      <c r="AH25" s="396"/>
      <c r="AI25" s="388" t="str">
        <f>IF(Y25&gt;0,Y25+AGI,"")</f>
        <v/>
      </c>
      <c r="AJ25" s="389"/>
      <c r="AK25" s="389"/>
      <c r="AL25" s="389"/>
      <c r="AM25" s="390"/>
      <c r="AO25" s="382">
        <f>2+IF(Características!$C$13="Sacerdote",1,0)</f>
        <v>2</v>
      </c>
      <c r="AP25" s="382"/>
      <c r="AQ25" s="382"/>
      <c r="AR25" s="382"/>
      <c r="AS25" s="382"/>
      <c r="AT25" s="142">
        <f t="shared" ref="AT25:AT31" si="10">Y25*AO25</f>
        <v>0</v>
      </c>
      <c r="AV25" s="144" t="s">
        <v>538</v>
      </c>
      <c r="AW25" s="132"/>
      <c r="AX25" s="135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5"/>
      <c r="BJ25" s="135"/>
      <c r="BK25" s="132"/>
      <c r="BL25" s="132"/>
      <c r="BM25" s="132"/>
      <c r="BN25" s="132"/>
      <c r="BO25" s="132"/>
      <c r="BP25" s="138"/>
      <c r="BQ25" s="138"/>
      <c r="BR25" s="138"/>
      <c r="BS25" s="391"/>
      <c r="BT25" s="392"/>
      <c r="BU25" s="392"/>
      <c r="BV25" s="392"/>
      <c r="BW25" s="393"/>
      <c r="BX25" s="387" t="s">
        <v>507</v>
      </c>
      <c r="BY25" s="387"/>
      <c r="BZ25" s="387"/>
      <c r="CA25" s="387"/>
      <c r="CB25" s="387"/>
      <c r="CC25" s="387" t="str">
        <f>IF(BS25&gt;0,BS25+PER,"")</f>
        <v/>
      </c>
      <c r="CD25" s="387"/>
      <c r="CE25" s="387"/>
      <c r="CF25" s="387"/>
      <c r="CG25" s="405"/>
      <c r="CI25" s="382">
        <v>2</v>
      </c>
      <c r="CJ25" s="382"/>
      <c r="CK25" s="382"/>
      <c r="CL25" s="382"/>
      <c r="CM25" s="382"/>
      <c r="CN25" s="142">
        <f t="shared" ref="CN25:CN31" si="11">BS25*CI25</f>
        <v>0</v>
      </c>
      <c r="CQ25" s="116" t="s">
        <v>672</v>
      </c>
    </row>
    <row r="26" spans="2:96" ht="14.25" customHeight="1" x14ac:dyDescent="0.3">
      <c r="B26" s="143" t="s">
        <v>534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391"/>
      <c r="Z26" s="392"/>
      <c r="AA26" s="392"/>
      <c r="AB26" s="392"/>
      <c r="AC26" s="393"/>
      <c r="AD26" s="388" t="s">
        <v>506</v>
      </c>
      <c r="AE26" s="389"/>
      <c r="AF26" s="389"/>
      <c r="AG26" s="389"/>
      <c r="AH26" s="396"/>
      <c r="AI26" s="388" t="str">
        <f>IF(Y26&gt;0,Y26+INT,"")</f>
        <v/>
      </c>
      <c r="AJ26" s="389"/>
      <c r="AK26" s="389"/>
      <c r="AL26" s="389"/>
      <c r="AM26" s="390"/>
      <c r="AO26" s="382">
        <f>2+IF(Características!$C$13="Sacerdote",1,0)</f>
        <v>2</v>
      </c>
      <c r="AP26" s="382"/>
      <c r="AQ26" s="382"/>
      <c r="AR26" s="382"/>
      <c r="AS26" s="382"/>
      <c r="AT26" s="142">
        <f t="shared" si="10"/>
        <v>0</v>
      </c>
      <c r="AV26" s="144" t="s">
        <v>62</v>
      </c>
      <c r="AW26" s="132"/>
      <c r="AX26" s="135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5"/>
      <c r="BJ26" s="135"/>
      <c r="BK26" s="132"/>
      <c r="BL26" s="132"/>
      <c r="BM26" s="132"/>
      <c r="BN26" s="132"/>
      <c r="BO26" s="132"/>
      <c r="BP26" s="138"/>
      <c r="BQ26" s="138"/>
      <c r="BR26" s="138"/>
      <c r="BS26" s="391"/>
      <c r="BT26" s="392"/>
      <c r="BU26" s="392"/>
      <c r="BV26" s="392"/>
      <c r="BW26" s="393"/>
      <c r="BX26" s="387" t="s">
        <v>112</v>
      </c>
      <c r="BY26" s="387"/>
      <c r="BZ26" s="387"/>
      <c r="CA26" s="387"/>
      <c r="CB26" s="387"/>
      <c r="CC26" s="387" t="str">
        <f>IF(BS26&gt;0,BS26+CAR,"")</f>
        <v/>
      </c>
      <c r="CD26" s="387"/>
      <c r="CE26" s="387"/>
      <c r="CF26" s="387"/>
      <c r="CG26" s="405"/>
      <c r="CI26" s="382">
        <v>1</v>
      </c>
      <c r="CJ26" s="382"/>
      <c r="CK26" s="382"/>
      <c r="CL26" s="382"/>
      <c r="CM26" s="382"/>
      <c r="CN26" s="142">
        <f t="shared" si="11"/>
        <v>0</v>
      </c>
      <c r="CQ26" s="234">
        <f>(SUM(AO9:AS31)+SUM(CI9:CM31)-1)/42</f>
        <v>1.4047619047619047</v>
      </c>
    </row>
    <row r="27" spans="2:96" ht="14.25" customHeight="1" x14ac:dyDescent="0.3">
      <c r="B27" s="143" t="s">
        <v>535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391"/>
      <c r="Z27" s="392"/>
      <c r="AA27" s="392"/>
      <c r="AB27" s="392"/>
      <c r="AC27" s="393"/>
      <c r="AD27" s="388" t="s">
        <v>109</v>
      </c>
      <c r="AE27" s="389"/>
      <c r="AF27" s="389"/>
      <c r="AG27" s="389"/>
      <c r="AH27" s="396"/>
      <c r="AI27" s="388" t="str">
        <f>IF(Y27&gt;0,Y27+AGI,"")</f>
        <v/>
      </c>
      <c r="AJ27" s="389"/>
      <c r="AK27" s="389"/>
      <c r="AL27" s="389"/>
      <c r="AM27" s="390"/>
      <c r="AO27" s="382">
        <f>1+IF(Características!$C$13="Sacerdote",1,0)</f>
        <v>1</v>
      </c>
      <c r="AP27" s="382"/>
      <c r="AQ27" s="382"/>
      <c r="AR27" s="382"/>
      <c r="AS27" s="382"/>
      <c r="AT27" s="142">
        <f t="shared" si="10"/>
        <v>0</v>
      </c>
      <c r="AV27" s="144" t="s">
        <v>539</v>
      </c>
      <c r="AW27" s="132"/>
      <c r="AX27" s="135"/>
      <c r="AY27" s="135"/>
      <c r="AZ27" s="135"/>
      <c r="BA27" s="135"/>
      <c r="BB27" s="135"/>
      <c r="BC27" s="135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8"/>
      <c r="BQ27" s="138"/>
      <c r="BR27" s="138"/>
      <c r="BS27" s="391"/>
      <c r="BT27" s="392"/>
      <c r="BU27" s="392"/>
      <c r="BV27" s="392"/>
      <c r="BW27" s="393"/>
      <c r="BX27" s="382" t="s">
        <v>507</v>
      </c>
      <c r="BY27" s="382"/>
      <c r="BZ27" s="382"/>
      <c r="CA27" s="382"/>
      <c r="CB27" s="382"/>
      <c r="CC27" s="382" t="str">
        <f>IF(BS27&gt;0,BS27+PER,"")</f>
        <v/>
      </c>
      <c r="CD27" s="382"/>
      <c r="CE27" s="382"/>
      <c r="CF27" s="382"/>
      <c r="CG27" s="386"/>
      <c r="CI27" s="382">
        <v>2</v>
      </c>
      <c r="CJ27" s="382"/>
      <c r="CK27" s="382"/>
      <c r="CL27" s="382"/>
      <c r="CM27" s="382"/>
      <c r="CN27" s="142">
        <f t="shared" si="11"/>
        <v>0</v>
      </c>
      <c r="CQ27" s="116" t="s">
        <v>673</v>
      </c>
    </row>
    <row r="28" spans="2:96" ht="14.25" customHeight="1" x14ac:dyDescent="0.3">
      <c r="B28" s="143" t="s">
        <v>536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5"/>
      <c r="U28" s="135"/>
      <c r="V28" s="135"/>
      <c r="W28" s="135"/>
      <c r="X28" s="135"/>
      <c r="Y28" s="391"/>
      <c r="Z28" s="392"/>
      <c r="AA28" s="392"/>
      <c r="AB28" s="392"/>
      <c r="AC28" s="393"/>
      <c r="AD28" s="388" t="s">
        <v>507</v>
      </c>
      <c r="AE28" s="389"/>
      <c r="AF28" s="389"/>
      <c r="AG28" s="389"/>
      <c r="AH28" s="396"/>
      <c r="AI28" s="388" t="str">
        <f>IF(Y28&gt;0,Y28+PER,"")</f>
        <v/>
      </c>
      <c r="AJ28" s="389"/>
      <c r="AK28" s="389"/>
      <c r="AL28" s="389"/>
      <c r="AM28" s="390"/>
      <c r="AO28" s="382">
        <f>2+IF(Características!$C$13="Sacerdote",1,0)</f>
        <v>2</v>
      </c>
      <c r="AP28" s="382"/>
      <c r="AQ28" s="382"/>
      <c r="AR28" s="382"/>
      <c r="AS28" s="382"/>
      <c r="AT28" s="142">
        <f t="shared" si="10"/>
        <v>0</v>
      </c>
      <c r="AV28" s="144" t="s">
        <v>10</v>
      </c>
      <c r="AW28" s="132"/>
      <c r="AX28" s="135"/>
      <c r="AY28" s="135"/>
      <c r="AZ28" s="135"/>
      <c r="BA28" s="135"/>
      <c r="BB28" s="135"/>
      <c r="BC28" s="135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8"/>
      <c r="BQ28" s="138"/>
      <c r="BR28" s="138"/>
      <c r="BS28" s="391"/>
      <c r="BT28" s="392"/>
      <c r="BU28" s="392"/>
      <c r="BV28" s="392"/>
      <c r="BW28" s="393"/>
      <c r="BX28" s="382" t="s">
        <v>540</v>
      </c>
      <c r="BY28" s="382"/>
      <c r="BZ28" s="382"/>
      <c r="CA28" s="382"/>
      <c r="CB28" s="382"/>
      <c r="CC28" s="382" t="str">
        <f>IF(BS28&gt;0,BS28+PER,"")</f>
        <v/>
      </c>
      <c r="CD28" s="382"/>
      <c r="CE28" s="382"/>
      <c r="CF28" s="382"/>
      <c r="CG28" s="386"/>
      <c r="CI28" s="382">
        <v>1</v>
      </c>
      <c r="CJ28" s="382"/>
      <c r="CK28" s="382"/>
      <c r="CL28" s="382"/>
      <c r="CM28" s="382"/>
      <c r="CN28" s="142">
        <f t="shared" si="11"/>
        <v>0</v>
      </c>
      <c r="CQ28" s="235" t="e">
        <f>S4/CQ26</f>
        <v>#N/A</v>
      </c>
    </row>
    <row r="29" spans="2:96" ht="14.25" customHeight="1" x14ac:dyDescent="0.2">
      <c r="B29" s="143" t="s">
        <v>537</v>
      </c>
      <c r="C29" s="132"/>
      <c r="D29" s="132"/>
      <c r="E29" s="132"/>
      <c r="F29" s="132"/>
      <c r="G29" s="132"/>
      <c r="H29" s="132"/>
      <c r="I29" s="132"/>
      <c r="J29" s="132"/>
      <c r="K29" s="135"/>
      <c r="L29" s="135"/>
      <c r="M29" s="135"/>
      <c r="N29" s="132"/>
      <c r="O29" s="132"/>
      <c r="P29" s="132"/>
      <c r="Q29" s="132"/>
      <c r="R29" s="132"/>
      <c r="S29" s="132"/>
      <c r="T29" s="135"/>
      <c r="U29" s="135"/>
      <c r="V29" s="135"/>
      <c r="W29" s="135"/>
      <c r="X29" s="135"/>
      <c r="Y29" s="391"/>
      <c r="Z29" s="392"/>
      <c r="AA29" s="392"/>
      <c r="AB29" s="392"/>
      <c r="AC29" s="393"/>
      <c r="AD29" s="388" t="s">
        <v>109</v>
      </c>
      <c r="AE29" s="389"/>
      <c r="AF29" s="389"/>
      <c r="AG29" s="389"/>
      <c r="AH29" s="396"/>
      <c r="AI29" s="388" t="str">
        <f>IF(Y29&gt;0,Y29+AGI,"")</f>
        <v/>
      </c>
      <c r="AJ29" s="389"/>
      <c r="AK29" s="389"/>
      <c r="AL29" s="389"/>
      <c r="AM29" s="390"/>
      <c r="AO29" s="382">
        <f>1+IF(Características!$C$13="Sacerdote",1,0)</f>
        <v>1</v>
      </c>
      <c r="AP29" s="382"/>
      <c r="AQ29" s="382"/>
      <c r="AR29" s="382"/>
      <c r="AS29" s="382"/>
      <c r="AT29" s="142">
        <f t="shared" si="10"/>
        <v>0</v>
      </c>
      <c r="AV29" s="144" t="s">
        <v>11</v>
      </c>
      <c r="AW29" s="133"/>
      <c r="AX29" s="135"/>
      <c r="AY29" s="132"/>
      <c r="AZ29" s="132"/>
      <c r="BA29" s="132"/>
      <c r="BB29" s="132"/>
      <c r="BC29" s="135"/>
      <c r="BD29" s="135"/>
      <c r="BE29" s="135"/>
      <c r="BF29" s="135"/>
      <c r="BG29" s="132"/>
      <c r="BH29" s="132"/>
      <c r="BI29" s="132"/>
      <c r="BJ29" s="132"/>
      <c r="BK29" s="132"/>
      <c r="BL29" s="132"/>
      <c r="BM29" s="132"/>
      <c r="BN29" s="132"/>
      <c r="BO29" s="132"/>
      <c r="BP29" s="138"/>
      <c r="BQ29" s="138"/>
      <c r="BR29" s="138"/>
      <c r="BS29" s="391"/>
      <c r="BT29" s="392"/>
      <c r="BU29" s="392"/>
      <c r="BV29" s="392"/>
      <c r="BW29" s="393"/>
      <c r="BX29" s="382" t="s">
        <v>110</v>
      </c>
      <c r="BY29" s="382"/>
      <c r="BZ29" s="382"/>
      <c r="CA29" s="382"/>
      <c r="CB29" s="382"/>
      <c r="CC29" s="382" t="str">
        <f>IF(Profissao="Rastreador",Estagio+PER,IF(BS29&gt;0,BS29+PER,""))</f>
        <v/>
      </c>
      <c r="CD29" s="382"/>
      <c r="CE29" s="382"/>
      <c r="CF29" s="382"/>
      <c r="CG29" s="386"/>
      <c r="CI29" s="413">
        <v>1</v>
      </c>
      <c r="CJ29" s="414"/>
      <c r="CK29" s="414"/>
      <c r="CL29" s="414"/>
      <c r="CM29" s="417"/>
      <c r="CN29" s="142">
        <f t="shared" si="11"/>
        <v>0</v>
      </c>
    </row>
    <row r="30" spans="2:96" ht="14.25" customHeight="1" x14ac:dyDescent="0.3">
      <c r="B30" s="143" t="s">
        <v>1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2"/>
      <c r="N30" s="135"/>
      <c r="O30" s="135"/>
      <c r="P30" s="135"/>
      <c r="Q30" s="135"/>
      <c r="R30" s="132"/>
      <c r="S30" s="132"/>
      <c r="T30" s="135"/>
      <c r="U30" s="135"/>
      <c r="V30" s="135"/>
      <c r="W30" s="135"/>
      <c r="X30" s="135"/>
      <c r="Y30" s="402"/>
      <c r="Z30" s="403"/>
      <c r="AA30" s="403"/>
      <c r="AB30" s="403"/>
      <c r="AC30" s="404"/>
      <c r="AD30" s="388" t="s">
        <v>109</v>
      </c>
      <c r="AE30" s="389"/>
      <c r="AF30" s="389"/>
      <c r="AG30" s="389"/>
      <c r="AH30" s="396"/>
      <c r="AI30" s="388" t="str">
        <f>IF(Profissao="Ladino",Estagio+FOR,IF(Y30&gt;0,Y30+FOR,""))</f>
        <v/>
      </c>
      <c r="AJ30" s="389"/>
      <c r="AK30" s="389"/>
      <c r="AL30" s="389"/>
      <c r="AM30" s="390"/>
      <c r="AO30" s="382">
        <f>1+IF(Características!$C$13="Sacerdote",1,0)</f>
        <v>1</v>
      </c>
      <c r="AP30" s="382"/>
      <c r="AQ30" s="382"/>
      <c r="AR30" s="382"/>
      <c r="AS30" s="382"/>
      <c r="AT30" s="142">
        <f t="shared" si="10"/>
        <v>0</v>
      </c>
      <c r="AV30" s="144" t="s">
        <v>541</v>
      </c>
      <c r="AW30" s="135"/>
      <c r="AX30" s="135"/>
      <c r="AY30" s="132"/>
      <c r="AZ30" s="132"/>
      <c r="BA30" s="132"/>
      <c r="BB30" s="132"/>
      <c r="BC30" s="135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8"/>
      <c r="BQ30" s="138"/>
      <c r="BR30" s="138"/>
      <c r="BS30" s="391"/>
      <c r="BT30" s="392"/>
      <c r="BU30" s="392"/>
      <c r="BV30" s="392"/>
      <c r="BW30" s="393"/>
      <c r="BX30" s="382" t="s">
        <v>542</v>
      </c>
      <c r="BY30" s="382"/>
      <c r="BZ30" s="382"/>
      <c r="CA30" s="382"/>
      <c r="CB30" s="382"/>
      <c r="CC30" s="382" t="str">
        <f>IF(BS30&gt;0,BS30+AUR,"")</f>
        <v/>
      </c>
      <c r="CD30" s="382"/>
      <c r="CE30" s="382"/>
      <c r="CF30" s="382"/>
      <c r="CG30" s="386"/>
      <c r="CI30" s="413">
        <v>2</v>
      </c>
      <c r="CJ30" s="414"/>
      <c r="CK30" s="414"/>
      <c r="CL30" s="414"/>
      <c r="CM30" s="417"/>
      <c r="CN30" s="142">
        <f t="shared" si="11"/>
        <v>0</v>
      </c>
    </row>
    <row r="31" spans="2:96" ht="14.25" customHeight="1" thickBot="1" x14ac:dyDescent="0.25">
      <c r="B31" s="145" t="s">
        <v>21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8"/>
      <c r="N31" s="146"/>
      <c r="O31" s="146"/>
      <c r="P31" s="146"/>
      <c r="Q31" s="146"/>
      <c r="R31" s="148"/>
      <c r="S31" s="148"/>
      <c r="T31" s="146"/>
      <c r="U31" s="146"/>
      <c r="V31" s="146"/>
      <c r="W31" s="146"/>
      <c r="X31" s="146"/>
      <c r="Y31" s="419"/>
      <c r="Z31" s="420"/>
      <c r="AA31" s="420"/>
      <c r="AB31" s="420"/>
      <c r="AC31" s="421"/>
      <c r="AD31" s="422" t="s">
        <v>110</v>
      </c>
      <c r="AE31" s="423"/>
      <c r="AF31" s="423"/>
      <c r="AG31" s="423"/>
      <c r="AH31" s="424"/>
      <c r="AI31" s="422" t="str">
        <f>IF(Y31&gt;0,Y31+PER,"")</f>
        <v/>
      </c>
      <c r="AJ31" s="423"/>
      <c r="AK31" s="423"/>
      <c r="AL31" s="423"/>
      <c r="AM31" s="425"/>
      <c r="AO31" s="382">
        <f>1+IF(Características!$C$13="Sacerdote",1,0)</f>
        <v>1</v>
      </c>
      <c r="AP31" s="382"/>
      <c r="AQ31" s="382"/>
      <c r="AR31" s="382"/>
      <c r="AS31" s="382"/>
      <c r="AT31" s="142">
        <f t="shared" si="10"/>
        <v>0</v>
      </c>
      <c r="AV31" s="147" t="s">
        <v>63</v>
      </c>
      <c r="AW31" s="146"/>
      <c r="AX31" s="146"/>
      <c r="AY31" s="148"/>
      <c r="AZ31" s="148"/>
      <c r="BA31" s="148"/>
      <c r="BB31" s="148"/>
      <c r="BC31" s="146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9"/>
      <c r="BQ31" s="149"/>
      <c r="BR31" s="210"/>
      <c r="BS31" s="419"/>
      <c r="BT31" s="420"/>
      <c r="BU31" s="420"/>
      <c r="BV31" s="420"/>
      <c r="BW31" s="421"/>
      <c r="BX31" s="426" t="s">
        <v>110</v>
      </c>
      <c r="BY31" s="426"/>
      <c r="BZ31" s="426"/>
      <c r="CA31" s="426"/>
      <c r="CB31" s="426"/>
      <c r="CC31" s="426" t="str">
        <f>IF(BS31&gt;0,BS31+PER,"")</f>
        <v/>
      </c>
      <c r="CD31" s="426"/>
      <c r="CE31" s="426"/>
      <c r="CF31" s="426"/>
      <c r="CG31" s="427"/>
      <c r="CI31" s="413">
        <v>1</v>
      </c>
      <c r="CJ31" s="414"/>
      <c r="CK31" s="414"/>
      <c r="CL31" s="414"/>
      <c r="CM31" s="417"/>
      <c r="CN31" s="142">
        <f t="shared" si="11"/>
        <v>0</v>
      </c>
    </row>
    <row r="32" spans="2:96" ht="14.25" customHeight="1" x14ac:dyDescent="0.2">
      <c r="AP32" s="418" t="s">
        <v>543</v>
      </c>
      <c r="AQ32" s="418"/>
      <c r="AR32" s="418"/>
      <c r="AS32" s="418"/>
      <c r="AT32" s="116">
        <f>SUM(AT9:AT15,AT17:AT23,AT25:AT31,CN9:CN15,CN17:CN23,CN25:CN31)</f>
        <v>0</v>
      </c>
    </row>
    <row r="38" spans="25:29" ht="14.25" customHeight="1" x14ac:dyDescent="0.2">
      <c r="Y38" s="401"/>
      <c r="Z38" s="401"/>
      <c r="AA38" s="401"/>
      <c r="AB38" s="401"/>
      <c r="AC38" s="401"/>
    </row>
  </sheetData>
  <sheetProtection formatCells="0" formatColumns="0" formatRows="0"/>
  <sortState ref="CP8:CT12">
    <sortCondition ref="CP8:CP12"/>
  </sortState>
  <mergeCells count="201">
    <mergeCell ref="S6:W6"/>
    <mergeCell ref="BD6:BH6"/>
    <mergeCell ref="AL4:AW4"/>
    <mergeCell ref="Y31:AC31"/>
    <mergeCell ref="AD31:AH31"/>
    <mergeCell ref="AI31:AM31"/>
    <mergeCell ref="AO31:AS31"/>
    <mergeCell ref="BX31:CB31"/>
    <mergeCell ref="CC31:CG31"/>
    <mergeCell ref="AD24:AH24"/>
    <mergeCell ref="AD27:AH27"/>
    <mergeCell ref="BS10:BW10"/>
    <mergeCell ref="BS14:BW14"/>
    <mergeCell ref="BX14:CB14"/>
    <mergeCell ref="CC14:CG14"/>
    <mergeCell ref="AI18:AM18"/>
    <mergeCell ref="BS18:BW18"/>
    <mergeCell ref="BX18:CB18"/>
    <mergeCell ref="CC18:CG18"/>
    <mergeCell ref="Y13:AC13"/>
    <mergeCell ref="AO10:AS10"/>
    <mergeCell ref="Y14:AC14"/>
    <mergeCell ref="Y19:AC19"/>
    <mergeCell ref="Y17:AC17"/>
    <mergeCell ref="CI31:CM31"/>
    <mergeCell ref="AP32:AS32"/>
    <mergeCell ref="BS24:BW24"/>
    <mergeCell ref="CC24:CG24"/>
    <mergeCell ref="AO25:AS25"/>
    <mergeCell ref="CC25:CG25"/>
    <mergeCell ref="BX26:CB26"/>
    <mergeCell ref="CI29:CM29"/>
    <mergeCell ref="BS30:BW30"/>
    <mergeCell ref="CC30:CG30"/>
    <mergeCell ref="CI30:CM30"/>
    <mergeCell ref="CI26:CM26"/>
    <mergeCell ref="CI27:CM27"/>
    <mergeCell ref="CI28:CM28"/>
    <mergeCell ref="AO29:AS29"/>
    <mergeCell ref="AO30:AS30"/>
    <mergeCell ref="CI25:CM25"/>
    <mergeCell ref="AO24:AS24"/>
    <mergeCell ref="CC26:CG26"/>
    <mergeCell ref="CC28:CG28"/>
    <mergeCell ref="BS31:BW31"/>
    <mergeCell ref="BX30:CB30"/>
    <mergeCell ref="BS28:BW28"/>
    <mergeCell ref="BS27:BW27"/>
    <mergeCell ref="AD16:AH16"/>
    <mergeCell ref="BS16:BW16"/>
    <mergeCell ref="CI16:CM16"/>
    <mergeCell ref="BS17:BW17"/>
    <mergeCell ref="BX17:CB17"/>
    <mergeCell ref="CC17:CG17"/>
    <mergeCell ref="CI17:CM17"/>
    <mergeCell ref="AI15:AM15"/>
    <mergeCell ref="AD14:AH14"/>
    <mergeCell ref="AI14:AM14"/>
    <mergeCell ref="AO14:AS14"/>
    <mergeCell ref="CI21:CM21"/>
    <mergeCell ref="BS22:BW22"/>
    <mergeCell ref="BX22:CB22"/>
    <mergeCell ref="CC22:CG22"/>
    <mergeCell ref="CI22:CM22"/>
    <mergeCell ref="CI23:CM23"/>
    <mergeCell ref="CI24:CM24"/>
    <mergeCell ref="CI15:CM15"/>
    <mergeCell ref="BX24:CB24"/>
    <mergeCell ref="BX23:CB23"/>
    <mergeCell ref="CC23:CG23"/>
    <mergeCell ref="BS21:BW21"/>
    <mergeCell ref="BX21:CB21"/>
    <mergeCell ref="CC21:CG21"/>
    <mergeCell ref="BS19:BW19"/>
    <mergeCell ref="BX19:CB19"/>
    <mergeCell ref="CC19:CG19"/>
    <mergeCell ref="BS23:BW23"/>
    <mergeCell ref="BS20:BW20"/>
    <mergeCell ref="CI8:CM8"/>
    <mergeCell ref="BS8:BW8"/>
    <mergeCell ref="CC8:CG8"/>
    <mergeCell ref="BX8:CB8"/>
    <mergeCell ref="CI19:CM19"/>
    <mergeCell ref="BX20:CB20"/>
    <mergeCell ref="CC20:CG20"/>
    <mergeCell ref="CI20:CM20"/>
    <mergeCell ref="CI9:CM9"/>
    <mergeCell ref="CI11:CM11"/>
    <mergeCell ref="CI12:CM12"/>
    <mergeCell ref="CI13:CM13"/>
    <mergeCell ref="CI10:CM10"/>
    <mergeCell ref="BS11:BW11"/>
    <mergeCell ref="BS9:BW9"/>
    <mergeCell ref="CC11:CG11"/>
    <mergeCell ref="BX13:CB13"/>
    <mergeCell ref="CC13:CG13"/>
    <mergeCell ref="CC16:CG16"/>
    <mergeCell ref="BX16:CB16"/>
    <mergeCell ref="BX10:CB10"/>
    <mergeCell ref="CC10:CG10"/>
    <mergeCell ref="CI18:CM18"/>
    <mergeCell ref="CI14:CM14"/>
    <mergeCell ref="Y18:AC18"/>
    <mergeCell ref="AD20:AH20"/>
    <mergeCell ref="AI23:AM23"/>
    <mergeCell ref="Y21:AC21"/>
    <mergeCell ref="Y22:AC22"/>
    <mergeCell ref="AO17:AS17"/>
    <mergeCell ref="AO18:AS18"/>
    <mergeCell ref="AO19:AS19"/>
    <mergeCell ref="AO20:AS20"/>
    <mergeCell ref="AO21:AS21"/>
    <mergeCell ref="AO22:AS22"/>
    <mergeCell ref="Y20:AC20"/>
    <mergeCell ref="AD21:AH21"/>
    <mergeCell ref="AI21:AM21"/>
    <mergeCell ref="AI19:AM19"/>
    <mergeCell ref="AD22:AH22"/>
    <mergeCell ref="Y23:AC23"/>
    <mergeCell ref="AO23:AS23"/>
    <mergeCell ref="AI20:AM20"/>
    <mergeCell ref="AI22:AM22"/>
    <mergeCell ref="AD17:AH17"/>
    <mergeCell ref="AD23:AH23"/>
    <mergeCell ref="AD19:AH19"/>
    <mergeCell ref="AI17:AM17"/>
    <mergeCell ref="Y15:AC15"/>
    <mergeCell ref="Y9:AC9"/>
    <mergeCell ref="AD8:AH8"/>
    <mergeCell ref="AI8:AM8"/>
    <mergeCell ref="AI13:AM13"/>
    <mergeCell ref="AD12:AH12"/>
    <mergeCell ref="AD13:AH13"/>
    <mergeCell ref="AI9:AM9"/>
    <mergeCell ref="AD9:AH9"/>
    <mergeCell ref="AI11:AM11"/>
    <mergeCell ref="AI12:AM12"/>
    <mergeCell ref="Y10:AC10"/>
    <mergeCell ref="AD10:AH10"/>
    <mergeCell ref="AI10:AM10"/>
    <mergeCell ref="Y8:AC8"/>
    <mergeCell ref="Y11:AC11"/>
    <mergeCell ref="AD11:AH11"/>
    <mergeCell ref="CC9:CG9"/>
    <mergeCell ref="CC15:CG15"/>
    <mergeCell ref="BS15:BW15"/>
    <mergeCell ref="BX15:CB15"/>
    <mergeCell ref="BX12:CB12"/>
    <mergeCell ref="BX9:CB9"/>
    <mergeCell ref="BX11:CB11"/>
    <mergeCell ref="BS12:BW12"/>
    <mergeCell ref="BS13:BW13"/>
    <mergeCell ref="CC12:CG12"/>
    <mergeCell ref="Y38:AC38"/>
    <mergeCell ref="AO9:AS9"/>
    <mergeCell ref="AO11:AS11"/>
    <mergeCell ref="AO12:AS12"/>
    <mergeCell ref="AO13:AS13"/>
    <mergeCell ref="Y27:AC27"/>
    <mergeCell ref="Y24:AC24"/>
    <mergeCell ref="AD26:AH26"/>
    <mergeCell ref="AI28:AM28"/>
    <mergeCell ref="AO16:AS16"/>
    <mergeCell ref="AD28:AH28"/>
    <mergeCell ref="AI29:AM29"/>
    <mergeCell ref="AI30:AM30"/>
    <mergeCell ref="AD30:AH30"/>
    <mergeCell ref="AD29:AH29"/>
    <mergeCell ref="Y29:AC29"/>
    <mergeCell ref="Y30:AC30"/>
    <mergeCell ref="Y28:AC28"/>
    <mergeCell ref="AI24:AM24"/>
    <mergeCell ref="Y25:AC25"/>
    <mergeCell ref="Y26:AC26"/>
    <mergeCell ref="AI26:AM26"/>
    <mergeCell ref="AD25:AH25"/>
    <mergeCell ref="AO28:AS28"/>
    <mergeCell ref="CQ22:CR22"/>
    <mergeCell ref="CQ17:CQ19"/>
    <mergeCell ref="B2:CG2"/>
    <mergeCell ref="AO8:AS8"/>
    <mergeCell ref="AO15:AS15"/>
    <mergeCell ref="S4:W4"/>
    <mergeCell ref="CC29:CG29"/>
    <mergeCell ref="CC27:CG27"/>
    <mergeCell ref="BX29:CB29"/>
    <mergeCell ref="BX27:CB27"/>
    <mergeCell ref="BX25:CB25"/>
    <mergeCell ref="AO26:AS26"/>
    <mergeCell ref="AI25:AM25"/>
    <mergeCell ref="AI27:AM27"/>
    <mergeCell ref="AO27:AS27"/>
    <mergeCell ref="BX28:CB28"/>
    <mergeCell ref="BS25:BW25"/>
    <mergeCell ref="BS29:BW29"/>
    <mergeCell ref="BS26:BW26"/>
    <mergeCell ref="Y16:AC16"/>
    <mergeCell ref="AD18:AH18"/>
    <mergeCell ref="AI16:AM16"/>
    <mergeCell ref="AD15:AH15"/>
    <mergeCell ref="Y12:AC12"/>
  </mergeCells>
  <conditionalFormatting sqref="AL4">
    <cfRule type="expression" dxfId="7" priority="4">
      <formula>$AL$4&lt;0</formula>
    </cfRule>
  </conditionalFormatting>
  <conditionalFormatting sqref="S6 BD6">
    <cfRule type="expression" dxfId="6" priority="2">
      <formula>$S$6&gt;Estagio/2+VLOOKUP(Profissao,$CQ$8:$CS$13,3,FALSE)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A7632DA2-3B48-41F5-8E89-8E405E0FDA82}">
            <xm:f>Características!$C$13="Guerreiro"</xm:f>
            <x14:dxf>
              <fill>
                <patternFill>
                  <bgColor rgb="FFFFC000"/>
                </patternFill>
              </fill>
            </x14:dxf>
          </x14:cfRule>
          <xm:sqref>Y18:AC18</xm:sqref>
        </x14:conditionalFormatting>
        <x14:conditionalFormatting xmlns:xm="http://schemas.microsoft.com/office/excel/2006/main">
          <x14:cfRule type="expression" priority="11" id="{5C86CDC2-B4D8-49E6-8B90-891F57627B47}">
            <xm:f>Características!$C$13="Sacerdote"</xm:f>
            <x14:dxf>
              <fill>
                <patternFill>
                  <bgColor rgb="FFFFC000"/>
                </patternFill>
              </fill>
            </x14:dxf>
          </x14:cfRule>
          <xm:sqref>BS19:BW19</xm:sqref>
        </x14:conditionalFormatting>
        <x14:conditionalFormatting xmlns:xm="http://schemas.microsoft.com/office/excel/2006/main">
          <x14:cfRule type="expression" priority="10" id="{D56B3C56-3D10-4E48-83B6-A1470A8AF84C}">
            <xm:f>Características!$C$13="Mago"</xm:f>
            <x14:dxf>
              <fill>
                <patternFill>
                  <bgColor rgb="FFFFC000"/>
                </patternFill>
              </fill>
            </x14:dxf>
          </x14:cfRule>
          <xm:sqref>BS20:BW20</xm:sqref>
        </x14:conditionalFormatting>
        <x14:conditionalFormatting xmlns:xm="http://schemas.microsoft.com/office/excel/2006/main">
          <x14:cfRule type="expression" priority="9" id="{5838DE55-362D-4E41-87A1-AA27BBA7E9B0}">
            <xm:f>Características!$C$13="Ladino"</xm:f>
            <x14:dxf>
              <fill>
                <patternFill>
                  <bgColor rgb="FFFFC000"/>
                </patternFill>
              </fill>
            </x14:dxf>
          </x14:cfRule>
          <xm:sqref>Y30:AC30</xm:sqref>
        </x14:conditionalFormatting>
        <x14:conditionalFormatting xmlns:xm="http://schemas.microsoft.com/office/excel/2006/main">
          <x14:cfRule type="expression" priority="7" id="{F4F90D2E-0E35-4931-8036-F5E5D1B46299}">
            <xm:f>Características!$C$13="Rastreador"</xm:f>
            <x14:dxf>
              <fill>
                <patternFill>
                  <bgColor rgb="FFFFC000"/>
                </patternFill>
              </fill>
            </x14:dxf>
          </x14:cfRule>
          <xm:sqref>BS29:BW29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96"/>
  <sheetViews>
    <sheetView tabSelected="1" topLeftCell="A28" zoomScale="85" zoomScaleNormal="85" workbookViewId="0">
      <selection activeCell="C70" sqref="C70:W70"/>
    </sheetView>
  </sheetViews>
  <sheetFormatPr defaultColWidth="9.21875" defaultRowHeight="14.25" customHeight="1" x14ac:dyDescent="0.2"/>
  <cols>
    <col min="1" max="1" width="1.44140625" style="116" customWidth="1"/>
    <col min="2" max="2" width="4.21875" style="116" hidden="1" customWidth="1"/>
    <col min="3" max="79" width="1.44140625" style="116" customWidth="1"/>
    <col min="80" max="80" width="3.77734375" style="116" customWidth="1"/>
    <col min="81" max="83" width="7" style="116" customWidth="1"/>
    <col min="84" max="84" width="5.44140625" style="116" customWidth="1"/>
    <col min="85" max="85" width="4.109375" style="116" hidden="1" customWidth="1"/>
    <col min="86" max="86" width="6.77734375" style="116" hidden="1" customWidth="1"/>
    <col min="87" max="87" width="15" style="116" hidden="1" customWidth="1"/>
    <col min="88" max="88" width="6.5546875" style="116" hidden="1" customWidth="1"/>
    <col min="89" max="89" width="18" style="116" hidden="1" customWidth="1"/>
    <col min="90" max="90" width="6.77734375" style="116" hidden="1" customWidth="1"/>
    <col min="91" max="91" width="11.77734375" style="116" hidden="1" customWidth="1"/>
    <col min="92" max="92" width="8.77734375" style="116" hidden="1" customWidth="1"/>
    <col min="93" max="93" width="19.44140625" style="116" hidden="1" customWidth="1"/>
    <col min="94" max="94" width="8.21875" style="116" hidden="1" customWidth="1"/>
    <col min="95" max="95" width="13.21875" style="116" hidden="1" customWidth="1"/>
    <col min="96" max="96" width="20.44140625" style="116" hidden="1" customWidth="1"/>
    <col min="97" max="97" width="10.44140625" style="116" hidden="1" customWidth="1"/>
    <col min="98" max="98" width="22" style="116" hidden="1" customWidth="1"/>
    <col min="99" max="99" width="10.44140625" style="116" hidden="1" customWidth="1"/>
    <col min="100" max="100" width="15.33203125" style="117" hidden="1" customWidth="1"/>
    <col min="101" max="101" width="25.21875" style="117" hidden="1" customWidth="1"/>
    <col min="102" max="102" width="25.6640625" style="117" hidden="1" customWidth="1"/>
    <col min="103" max="103" width="6.21875" style="117" hidden="1" customWidth="1"/>
    <col min="104" max="104" width="8.33203125" style="117" hidden="1" customWidth="1"/>
    <col min="105" max="106" width="6.21875" style="117" hidden="1" customWidth="1"/>
    <col min="107" max="107" width="24" style="117" hidden="1" customWidth="1"/>
    <col min="108" max="108" width="10.6640625" style="117" hidden="1" customWidth="1"/>
    <col min="109" max="109" width="5.77734375" style="117" hidden="1" customWidth="1"/>
    <col min="110" max="110" width="25.77734375" style="117" hidden="1" customWidth="1"/>
    <col min="111" max="111" width="25.21875" style="117" hidden="1" customWidth="1"/>
    <col min="112" max="112" width="6.6640625" style="117" hidden="1" customWidth="1"/>
    <col min="113" max="113" width="5.77734375" style="117" hidden="1" customWidth="1"/>
    <col min="114" max="114" width="27" style="117" hidden="1" customWidth="1"/>
    <col min="115" max="115" width="23.44140625" style="117" hidden="1" customWidth="1"/>
    <col min="116" max="116" width="18.21875" style="117" hidden="1" customWidth="1"/>
    <col min="117" max="117" width="5.77734375" style="117" hidden="1" customWidth="1"/>
    <col min="118" max="118" width="27" style="117" hidden="1" customWidth="1"/>
    <col min="119" max="119" width="16.109375" style="117" hidden="1" customWidth="1"/>
    <col min="120" max="120" width="18.21875" style="117" hidden="1" customWidth="1"/>
    <col min="121" max="121" width="5.77734375" style="117" hidden="1" customWidth="1"/>
    <col min="122" max="122" width="10.88671875" style="117" hidden="1" customWidth="1"/>
    <col min="123" max="123" width="24.21875" style="117" hidden="1" customWidth="1"/>
    <col min="124" max="126" width="11.21875" style="117" hidden="1" customWidth="1"/>
    <col min="127" max="127" width="24.21875" style="117" hidden="1" customWidth="1"/>
    <col min="128" max="130" width="12" style="117" hidden="1" customWidth="1"/>
    <col min="131" max="140" width="12" style="116" hidden="1" customWidth="1"/>
    <col min="141" max="141" width="12" style="116" customWidth="1"/>
    <col min="142" max="179" width="3.77734375" style="116" customWidth="1"/>
    <col min="180" max="813" width="9.21875" style="116" customWidth="1"/>
    <col min="814" max="16384" width="9.21875" style="116"/>
  </cols>
  <sheetData>
    <row r="1" spans="3:150" ht="11.25" customHeight="1" thickBot="1" x14ac:dyDescent="0.25">
      <c r="EA1" s="344" t="s">
        <v>180</v>
      </c>
      <c r="EB1" s="344" t="str">
        <f>EA1&amp;"custo"</f>
        <v>(Guilda dos Assassinos)custo</v>
      </c>
      <c r="EC1" s="344" t="str">
        <f>EA1&amp;"dif"</f>
        <v>(Guilda dos Assassinos)dif</v>
      </c>
      <c r="ED1" s="117"/>
    </row>
    <row r="2" spans="3:150" ht="18" thickBot="1" x14ac:dyDescent="0.35">
      <c r="C2" s="445" t="s">
        <v>22</v>
      </c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446"/>
      <c r="BE2" s="446"/>
      <c r="BF2" s="446"/>
      <c r="BG2" s="446"/>
      <c r="BH2" s="446"/>
      <c r="BI2" s="446"/>
      <c r="BJ2" s="446"/>
      <c r="BK2" s="446"/>
      <c r="BL2" s="446"/>
      <c r="BM2" s="446"/>
      <c r="BN2" s="446"/>
      <c r="BO2" s="446"/>
      <c r="BP2" s="446"/>
      <c r="BQ2" s="446"/>
      <c r="BR2" s="446"/>
      <c r="BS2" s="446"/>
      <c r="BT2" s="446"/>
      <c r="BU2" s="446"/>
      <c r="BV2" s="446"/>
      <c r="BW2" s="446"/>
      <c r="BX2" s="446"/>
      <c r="BY2" s="446"/>
      <c r="BZ2" s="227"/>
      <c r="CA2" s="227"/>
      <c r="CB2" s="227"/>
      <c r="CC2" s="227"/>
      <c r="CD2" s="227"/>
      <c r="CE2" s="228"/>
      <c r="CF2" s="194"/>
      <c r="CG2" s="194"/>
      <c r="CH2" s="194"/>
      <c r="CI2" s="194"/>
      <c r="CJ2" s="194"/>
      <c r="CK2" s="194"/>
      <c r="CL2" s="194"/>
      <c r="EA2" s="343" t="s">
        <v>706</v>
      </c>
      <c r="EB2" s="343">
        <v>1</v>
      </c>
      <c r="EC2" s="343" t="s">
        <v>182</v>
      </c>
      <c r="ED2" s="117"/>
    </row>
    <row r="3" spans="3:150" ht="23.4" thickBot="1" x14ac:dyDescent="0.35"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O3" s="73" t="s">
        <v>101</v>
      </c>
      <c r="CP3" s="74" t="s">
        <v>22</v>
      </c>
      <c r="CQ3" s="86" t="s">
        <v>186</v>
      </c>
      <c r="CT3" s="117"/>
      <c r="CU3" s="117"/>
      <c r="DY3" s="116"/>
      <c r="DZ3" s="116"/>
      <c r="EA3" s="343" t="s">
        <v>705</v>
      </c>
      <c r="EB3" s="343">
        <v>2</v>
      </c>
      <c r="EC3" s="343" t="s">
        <v>119</v>
      </c>
      <c r="ED3" s="117"/>
    </row>
    <row r="4" spans="3:150" ht="18" thickBot="1" x14ac:dyDescent="0.35">
      <c r="C4" s="116" t="s">
        <v>510</v>
      </c>
      <c r="O4" s="383" t="e">
        <f>VLOOKUP(Profissao,TabelaPontosCombate,2,FALSE)*Estagio</f>
        <v>#N/A</v>
      </c>
      <c r="P4" s="384"/>
      <c r="Q4" s="384"/>
      <c r="R4" s="384"/>
      <c r="S4" s="385"/>
      <c r="V4" s="116" t="s">
        <v>511</v>
      </c>
      <c r="AI4" s="442" t="e">
        <f>O4-(SUM(R17:AP17)+2*SUM(AQ17:BY17)+3*SUM(BZ17:CE17))</f>
        <v>#N/A</v>
      </c>
      <c r="AJ4" s="443"/>
      <c r="AK4" s="443"/>
      <c r="AL4" s="443"/>
      <c r="AM4" s="444"/>
      <c r="AN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O4" s="81" t="s">
        <v>108</v>
      </c>
      <c r="CP4" s="69">
        <v>3</v>
      </c>
      <c r="CQ4" s="69">
        <v>2</v>
      </c>
      <c r="CT4" s="117"/>
      <c r="CU4" s="117"/>
      <c r="DY4" s="116"/>
      <c r="DZ4" s="116"/>
      <c r="EA4" s="343" t="s">
        <v>693</v>
      </c>
      <c r="EB4" s="343">
        <v>1</v>
      </c>
      <c r="EC4" s="343" t="s">
        <v>110</v>
      </c>
      <c r="ED4" s="117"/>
    </row>
    <row r="5" spans="3:150" ht="14.25" customHeight="1" thickBot="1" x14ac:dyDescent="0.25">
      <c r="CO5" s="78" t="s">
        <v>103</v>
      </c>
      <c r="CP5" s="66">
        <v>10</v>
      </c>
      <c r="CQ5" s="66">
        <v>7</v>
      </c>
      <c r="CT5" s="117"/>
      <c r="CU5" s="117"/>
      <c r="DY5" s="116"/>
      <c r="DZ5" s="116"/>
      <c r="EA5" s="343"/>
      <c r="EB5" s="343"/>
      <c r="EC5" s="343"/>
      <c r="ED5" s="117"/>
    </row>
    <row r="6" spans="3:150" ht="14.25" customHeight="1" thickBot="1" x14ac:dyDescent="0.25">
      <c r="C6" s="507" t="s">
        <v>18</v>
      </c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409" t="s">
        <v>131</v>
      </c>
      <c r="AG6" s="410"/>
      <c r="AH6" s="410"/>
      <c r="AI6" s="410"/>
      <c r="AJ6" s="509"/>
      <c r="AK6" s="409" t="s">
        <v>113</v>
      </c>
      <c r="AL6" s="410"/>
      <c r="AM6" s="410"/>
      <c r="AN6" s="410"/>
      <c r="AO6" s="509"/>
      <c r="CO6" s="81" t="s">
        <v>104</v>
      </c>
      <c r="CP6" s="69">
        <v>7</v>
      </c>
      <c r="CQ6" s="69">
        <v>4</v>
      </c>
      <c r="CT6" s="117"/>
      <c r="CU6" s="117"/>
      <c r="DY6" s="116"/>
      <c r="DZ6" s="116"/>
      <c r="EA6" s="343"/>
      <c r="EB6" s="343"/>
      <c r="EC6" s="343"/>
      <c r="ED6" s="117"/>
    </row>
    <row r="7" spans="3:150" ht="14.25" customHeight="1" thickBot="1" x14ac:dyDescent="0.25">
      <c r="C7" s="447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61"/>
      <c r="AG7" s="462"/>
      <c r="AH7" s="462"/>
      <c r="AI7" s="462"/>
      <c r="AJ7" s="463"/>
      <c r="AK7" s="644" t="str">
        <f>IF(C7&lt;&gt;"",VLOOKUP(C7,Ficha!$EE$87:$EF$136,2,FALSE),"")</f>
        <v/>
      </c>
      <c r="AL7" s="645"/>
      <c r="AM7" s="645"/>
      <c r="AN7" s="645"/>
      <c r="AO7" s="646"/>
      <c r="AP7" s="643" t="e">
        <f>IF(HLOOKUP(AK7,$R$16:$CE$17,2,FALSE)="","Você não comprou nível neste grupo de armas!","")</f>
        <v>#N/A</v>
      </c>
      <c r="CO7" s="81" t="s">
        <v>106</v>
      </c>
      <c r="CP7" s="69">
        <v>1</v>
      </c>
      <c r="CQ7" s="69">
        <v>1</v>
      </c>
      <c r="CT7" s="117"/>
      <c r="CU7" s="117"/>
      <c r="DY7" s="116"/>
      <c r="DZ7" s="116"/>
    </row>
    <row r="8" spans="3:150" ht="14.25" customHeight="1" thickBot="1" x14ac:dyDescent="0.25">
      <c r="C8" s="447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9"/>
      <c r="AG8" s="449"/>
      <c r="AH8" s="449"/>
      <c r="AI8" s="449"/>
      <c r="AJ8" s="450"/>
      <c r="AK8" s="644" t="str">
        <f>IF(C8&lt;&gt;"",VLOOKUP(C8,Ficha!$EE$87:$EF$136,2,FALSE),"")</f>
        <v/>
      </c>
      <c r="AL8" s="645"/>
      <c r="AM8" s="645"/>
      <c r="AN8" s="645"/>
      <c r="AO8" s="646"/>
      <c r="AP8" s="643" t="e">
        <f t="shared" ref="AP8:AP14" si="0">IF(HLOOKUP(AK8,$R$16:$CE$17,2,FALSE)="","Você não comprou nível neste grupo de armas!","")</f>
        <v>#N/A</v>
      </c>
      <c r="CO8" s="78" t="s">
        <v>107</v>
      </c>
      <c r="CP8" s="72">
        <v>5</v>
      </c>
      <c r="CQ8" s="66">
        <v>4</v>
      </c>
      <c r="CT8" s="117"/>
      <c r="CU8" s="117"/>
      <c r="DY8" s="116"/>
      <c r="DZ8" s="116"/>
    </row>
    <row r="9" spans="3:150" ht="14.25" customHeight="1" thickBot="1" x14ac:dyDescent="0.25">
      <c r="C9" s="447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9"/>
      <c r="AG9" s="449"/>
      <c r="AH9" s="449"/>
      <c r="AI9" s="449"/>
      <c r="AJ9" s="450"/>
      <c r="AK9" s="644" t="str">
        <f>IF(C9&lt;&gt;"",VLOOKUP(C9,Ficha!$EE$87:$EF$136,2,FALSE),"")</f>
        <v/>
      </c>
      <c r="AL9" s="645"/>
      <c r="AM9" s="645"/>
      <c r="AN9" s="645"/>
      <c r="AO9" s="646"/>
      <c r="AP9" s="643" t="e">
        <f t="shared" si="0"/>
        <v>#N/A</v>
      </c>
      <c r="CO9" s="78" t="s">
        <v>105</v>
      </c>
      <c r="CP9" s="72">
        <v>5</v>
      </c>
      <c r="CQ9" s="66">
        <v>4</v>
      </c>
      <c r="CT9" s="117"/>
      <c r="CU9" s="117"/>
      <c r="DY9" s="116"/>
      <c r="DZ9" s="116"/>
    </row>
    <row r="10" spans="3:150" ht="14.25" customHeight="1" thickBot="1" x14ac:dyDescent="0.25">
      <c r="C10" s="447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9"/>
      <c r="AG10" s="449"/>
      <c r="AH10" s="449"/>
      <c r="AI10" s="449"/>
      <c r="AJ10" s="450"/>
      <c r="AK10" s="644" t="str">
        <f>IF(C10&lt;&gt;"",VLOOKUP(C10,Ficha!$EE$87:$EF$136,2,FALSE),"")</f>
        <v/>
      </c>
      <c r="AL10" s="645"/>
      <c r="AM10" s="645"/>
      <c r="AN10" s="645"/>
      <c r="AO10" s="646"/>
      <c r="AP10" s="643" t="e">
        <f t="shared" si="0"/>
        <v>#N/A</v>
      </c>
    </row>
    <row r="11" spans="3:150" ht="14.25" customHeight="1" thickBot="1" x14ac:dyDescent="0.25">
      <c r="C11" s="447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9"/>
      <c r="AG11" s="449"/>
      <c r="AH11" s="449"/>
      <c r="AI11" s="449"/>
      <c r="AJ11" s="450"/>
      <c r="AK11" s="644" t="str">
        <f>IF(C11&lt;&gt;"",VLOOKUP(C11,Ficha!$EE$87:$EF$136,2,FALSE),"")</f>
        <v/>
      </c>
      <c r="AL11" s="645"/>
      <c r="AM11" s="645"/>
      <c r="AN11" s="645"/>
      <c r="AO11" s="646"/>
      <c r="AP11" s="643" t="e">
        <f t="shared" si="0"/>
        <v>#N/A</v>
      </c>
    </row>
    <row r="12" spans="3:150" ht="14.25" customHeight="1" thickBot="1" x14ac:dyDescent="0.25">
      <c r="C12" s="447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9"/>
      <c r="AG12" s="449"/>
      <c r="AH12" s="449"/>
      <c r="AI12" s="449"/>
      <c r="AJ12" s="450"/>
      <c r="AK12" s="644" t="str">
        <f>IF(C12&lt;&gt;"",VLOOKUP(C12,Ficha!$EE$87:$EF$136,2,FALSE),"")</f>
        <v/>
      </c>
      <c r="AL12" s="645"/>
      <c r="AM12" s="645"/>
      <c r="AN12" s="645"/>
      <c r="AO12" s="646"/>
      <c r="AP12" s="643" t="e">
        <f t="shared" si="0"/>
        <v>#N/A</v>
      </c>
    </row>
    <row r="13" spans="3:150" ht="14.25" customHeight="1" thickBot="1" x14ac:dyDescent="0.25">
      <c r="C13" s="447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9"/>
      <c r="AG13" s="449"/>
      <c r="AH13" s="449"/>
      <c r="AI13" s="449"/>
      <c r="AJ13" s="450"/>
      <c r="AK13" s="644" t="str">
        <f>IF(C13&lt;&gt;"",VLOOKUP(C13,Ficha!$EE$87:$EF$136,2,FALSE),"")</f>
        <v/>
      </c>
      <c r="AL13" s="645"/>
      <c r="AM13" s="645"/>
      <c r="AN13" s="645"/>
      <c r="AO13" s="646"/>
      <c r="AP13" s="643" t="e">
        <f t="shared" si="0"/>
        <v>#N/A</v>
      </c>
    </row>
    <row r="14" spans="3:150" ht="14.25" customHeight="1" thickBot="1" x14ac:dyDescent="0.25">
      <c r="C14" s="469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1"/>
      <c r="AG14" s="471"/>
      <c r="AH14" s="471"/>
      <c r="AI14" s="471"/>
      <c r="AJ14" s="472"/>
      <c r="AK14" s="647" t="str">
        <f>IF(C14&lt;&gt;"",VLOOKUP(C14,Ficha!$EE$87:$EF$136,2,FALSE),"")</f>
        <v/>
      </c>
      <c r="AL14" s="648"/>
      <c r="AM14" s="648"/>
      <c r="AN14" s="648"/>
      <c r="AO14" s="649"/>
      <c r="AP14" s="643" t="e">
        <f t="shared" si="0"/>
        <v>#N/A</v>
      </c>
      <c r="CN14" s="351"/>
      <c r="CO14" s="351" t="s">
        <v>749</v>
      </c>
      <c r="CP14" s="351"/>
    </row>
    <row r="15" spans="3:150" ht="14.25" customHeight="1" thickBot="1" x14ac:dyDescent="0.25"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9"/>
      <c r="AG15" s="119"/>
      <c r="AH15" s="119"/>
      <c r="AI15" s="119"/>
      <c r="AJ15" s="119"/>
      <c r="CN15" s="352" t="s">
        <v>750</v>
      </c>
      <c r="CO15" s="344" t="s">
        <v>748</v>
      </c>
      <c r="CP15" s="352" t="s">
        <v>514</v>
      </c>
      <c r="CQ15" s="233"/>
      <c r="CR15" s="233"/>
    </row>
    <row r="16" spans="3:150" ht="14.25" customHeight="1" x14ac:dyDescent="0.2">
      <c r="C16" s="452" t="s">
        <v>113</v>
      </c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4"/>
      <c r="R16" s="480" t="s">
        <v>43</v>
      </c>
      <c r="S16" s="480"/>
      <c r="T16" s="480"/>
      <c r="U16" s="480"/>
      <c r="V16" s="480"/>
      <c r="W16" s="458" t="s">
        <v>663</v>
      </c>
      <c r="X16" s="459"/>
      <c r="Y16" s="459"/>
      <c r="Z16" s="459"/>
      <c r="AA16" s="460"/>
      <c r="AB16" s="480" t="s">
        <v>45</v>
      </c>
      <c r="AC16" s="480"/>
      <c r="AD16" s="480"/>
      <c r="AE16" s="480"/>
      <c r="AF16" s="480"/>
      <c r="AG16" s="458" t="s">
        <v>664</v>
      </c>
      <c r="AH16" s="459"/>
      <c r="AI16" s="459"/>
      <c r="AJ16" s="459"/>
      <c r="AK16" s="460"/>
      <c r="AL16" s="480" t="s">
        <v>44</v>
      </c>
      <c r="AM16" s="480"/>
      <c r="AN16" s="480"/>
      <c r="AO16" s="480"/>
      <c r="AP16" s="480"/>
      <c r="AQ16" s="480" t="s">
        <v>47</v>
      </c>
      <c r="AR16" s="480"/>
      <c r="AS16" s="480"/>
      <c r="AT16" s="480"/>
      <c r="AU16" s="480"/>
      <c r="AV16" s="480" t="s">
        <v>46</v>
      </c>
      <c r="AW16" s="480"/>
      <c r="AX16" s="480"/>
      <c r="AY16" s="480"/>
      <c r="AZ16" s="480"/>
      <c r="BA16" s="458" t="s">
        <v>51</v>
      </c>
      <c r="BB16" s="459"/>
      <c r="BC16" s="459"/>
      <c r="BD16" s="459"/>
      <c r="BE16" s="460"/>
      <c r="BF16" s="458" t="s">
        <v>49</v>
      </c>
      <c r="BG16" s="459"/>
      <c r="BH16" s="459"/>
      <c r="BI16" s="459"/>
      <c r="BJ16" s="460"/>
      <c r="BK16" s="458" t="s">
        <v>665</v>
      </c>
      <c r="BL16" s="459"/>
      <c r="BM16" s="459"/>
      <c r="BN16" s="459"/>
      <c r="BO16" s="460"/>
      <c r="BP16" s="458" t="s">
        <v>666</v>
      </c>
      <c r="BQ16" s="459"/>
      <c r="BR16" s="459"/>
      <c r="BS16" s="459"/>
      <c r="BT16" s="460"/>
      <c r="BU16" s="458" t="s">
        <v>48</v>
      </c>
      <c r="BV16" s="459"/>
      <c r="BW16" s="459"/>
      <c r="BX16" s="459"/>
      <c r="BY16" s="459"/>
      <c r="BZ16" s="464" t="s">
        <v>52</v>
      </c>
      <c r="CA16" s="459"/>
      <c r="CB16" s="465"/>
      <c r="CC16" s="226" t="s">
        <v>66</v>
      </c>
      <c r="CD16" s="226" t="s">
        <v>53</v>
      </c>
      <c r="CE16" s="226" t="s">
        <v>54</v>
      </c>
      <c r="CF16" s="17"/>
      <c r="CG16" s="17"/>
      <c r="CH16" s="17"/>
      <c r="CI16" s="17"/>
      <c r="CJ16" s="17"/>
      <c r="CK16" s="17"/>
      <c r="CL16" s="17"/>
      <c r="CM16" s="17"/>
      <c r="CN16" s="318">
        <v>1</v>
      </c>
      <c r="CO16" s="323" t="str">
        <f t="shared" ref="CO16:CO30" si="1">IF(ISERROR(VLOOKUP(CN16,$B$34:$AS$81,2,FALSE)),"",VLOOKUP(CN16,$B$34:$AQ$81,2,FALSE))</f>
        <v/>
      </c>
      <c r="CP16" s="137" t="str">
        <f t="shared" ref="CP16:CP30" si="2">IF(ISERROR(VLOOKUP(CN16,$B$34:$AR$81,38,FALSE)),"",VLOOKUP(CN16,$B$34:$AQ$81,38,FALSE))</f>
        <v/>
      </c>
      <c r="CQ16" s="322"/>
      <c r="CR16" s="322"/>
      <c r="CS16" s="476"/>
      <c r="CT16" s="476"/>
      <c r="CU16" s="476"/>
      <c r="CV16" s="476"/>
      <c r="CW16" s="476"/>
      <c r="CX16" s="476"/>
      <c r="CY16" s="476"/>
      <c r="CZ16" s="476"/>
      <c r="DA16" s="476"/>
      <c r="DB16" s="47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</row>
    <row r="17" spans="1:150" ht="14.25" customHeight="1" thickBot="1" x14ac:dyDescent="0.25">
      <c r="C17" s="455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7"/>
      <c r="R17" s="477"/>
      <c r="S17" s="478"/>
      <c r="T17" s="478"/>
      <c r="U17" s="478"/>
      <c r="V17" s="479"/>
      <c r="W17" s="477"/>
      <c r="X17" s="478"/>
      <c r="Y17" s="478"/>
      <c r="Z17" s="478"/>
      <c r="AA17" s="479"/>
      <c r="AB17" s="431"/>
      <c r="AC17" s="431"/>
      <c r="AD17" s="431"/>
      <c r="AE17" s="431"/>
      <c r="AF17" s="431"/>
      <c r="AG17" s="451"/>
      <c r="AH17" s="420"/>
      <c r="AI17" s="420"/>
      <c r="AJ17" s="420"/>
      <c r="AK17" s="42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431"/>
      <c r="BI17" s="431"/>
      <c r="BJ17" s="431"/>
      <c r="BK17" s="451"/>
      <c r="BL17" s="420"/>
      <c r="BM17" s="420"/>
      <c r="BN17" s="420"/>
      <c r="BO17" s="421"/>
      <c r="BP17" s="451"/>
      <c r="BQ17" s="420"/>
      <c r="BR17" s="420"/>
      <c r="BS17" s="420"/>
      <c r="BT17" s="421"/>
      <c r="BU17" s="431"/>
      <c r="BV17" s="431"/>
      <c r="BW17" s="431"/>
      <c r="BX17" s="431"/>
      <c r="BY17" s="451"/>
      <c r="BZ17" s="466"/>
      <c r="CA17" s="467"/>
      <c r="CB17" s="468"/>
      <c r="CC17" s="225"/>
      <c r="CD17" s="225"/>
      <c r="CE17" s="225"/>
      <c r="CF17" s="165"/>
      <c r="CG17" s="165"/>
      <c r="CH17" s="165"/>
      <c r="CI17" s="165"/>
      <c r="CJ17" s="165"/>
      <c r="CK17" s="165"/>
      <c r="CL17" s="165"/>
      <c r="CM17" s="165"/>
      <c r="CN17" s="318">
        <v>2</v>
      </c>
      <c r="CO17" s="323" t="str">
        <f t="shared" si="1"/>
        <v/>
      </c>
      <c r="CP17" s="137" t="str">
        <f t="shared" si="2"/>
        <v/>
      </c>
      <c r="CQ17" s="321"/>
      <c r="CR17" s="321"/>
      <c r="CS17" s="429"/>
      <c r="CT17" s="429"/>
      <c r="CU17" s="429"/>
      <c r="CV17" s="429"/>
      <c r="CW17" s="429"/>
      <c r="CX17" s="429"/>
      <c r="CY17" s="429"/>
      <c r="CZ17" s="429"/>
      <c r="DA17" s="429"/>
      <c r="DB17" s="429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</row>
    <row r="18" spans="1:150" ht="14.25" customHeight="1" thickBot="1" x14ac:dyDescent="0.25">
      <c r="C18" s="120"/>
      <c r="D18" s="120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2"/>
      <c r="S18" s="122"/>
      <c r="T18" s="122"/>
      <c r="U18" s="122"/>
      <c r="V18" s="122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CN18" s="318">
        <v>3</v>
      </c>
      <c r="CO18" s="323" t="str">
        <f t="shared" si="1"/>
        <v/>
      </c>
      <c r="CP18" s="137" t="str">
        <f t="shared" si="2"/>
        <v/>
      </c>
      <c r="CQ18" s="117"/>
      <c r="CR18" s="117"/>
      <c r="CS18" s="117"/>
      <c r="CT18" s="117"/>
      <c r="CU18" s="117"/>
      <c r="DM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</row>
    <row r="19" spans="1:150" ht="14.25" customHeight="1" thickBot="1" x14ac:dyDescent="0.25">
      <c r="C19" s="124" t="s">
        <v>505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473" t="s">
        <v>490</v>
      </c>
      <c r="Z19" s="474"/>
      <c r="AA19" s="474"/>
      <c r="AB19" s="474"/>
      <c r="AC19" s="475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CN19" s="318">
        <v>4</v>
      </c>
      <c r="CO19" s="323" t="str">
        <f t="shared" si="1"/>
        <v/>
      </c>
      <c r="CP19" s="137" t="str">
        <f t="shared" si="2"/>
        <v/>
      </c>
      <c r="CQ19" s="117"/>
      <c r="CR19" s="117"/>
      <c r="CS19" s="117"/>
      <c r="CT19" s="117"/>
      <c r="CU19" s="117"/>
      <c r="DM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</row>
    <row r="20" spans="1:150" ht="14.25" customHeight="1" x14ac:dyDescent="0.2">
      <c r="C20" s="481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510"/>
      <c r="Z20" s="511"/>
      <c r="AA20" s="511"/>
      <c r="AB20" s="511"/>
      <c r="AC20" s="512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CN20" s="318">
        <v>5</v>
      </c>
      <c r="CO20" s="323" t="str">
        <f t="shared" si="1"/>
        <v/>
      </c>
      <c r="CP20" s="137" t="str">
        <f t="shared" si="2"/>
        <v/>
      </c>
      <c r="CQ20" s="117"/>
      <c r="CR20" s="117"/>
      <c r="CS20" s="117"/>
      <c r="CT20" s="117"/>
      <c r="CU20" s="117"/>
      <c r="DM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</row>
    <row r="21" spans="1:150" ht="14.25" customHeight="1" x14ac:dyDescent="0.2">
      <c r="C21" s="501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3"/>
      <c r="Y21" s="510"/>
      <c r="Z21" s="511"/>
      <c r="AA21" s="511"/>
      <c r="AB21" s="511"/>
      <c r="AC21" s="512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CN21" s="318">
        <v>6</v>
      </c>
      <c r="CO21" s="323" t="str">
        <f t="shared" si="1"/>
        <v/>
      </c>
      <c r="CP21" s="137" t="str">
        <f t="shared" si="2"/>
        <v/>
      </c>
      <c r="CQ21" s="117"/>
      <c r="CR21" s="117"/>
      <c r="CS21" s="117"/>
      <c r="CT21" s="117"/>
      <c r="CU21" s="117"/>
      <c r="DM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</row>
    <row r="22" spans="1:150" s="126" customFormat="1" ht="14.25" customHeight="1" thickBot="1" x14ac:dyDescent="0.25">
      <c r="A22" s="116"/>
      <c r="B22" s="116"/>
      <c r="C22" s="495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497"/>
      <c r="Y22" s="498"/>
      <c r="Z22" s="499"/>
      <c r="AA22" s="499"/>
      <c r="AB22" s="499"/>
      <c r="AC22" s="500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33" t="s">
        <v>717</v>
      </c>
      <c r="CJ22" s="133" t="s">
        <v>518</v>
      </c>
      <c r="CK22" s="116"/>
      <c r="CL22" s="116"/>
      <c r="CN22" s="318">
        <v>7</v>
      </c>
      <c r="CO22" s="323" t="str">
        <f t="shared" si="1"/>
        <v/>
      </c>
      <c r="CP22" s="137" t="str">
        <f t="shared" si="2"/>
        <v/>
      </c>
      <c r="CR22" s="350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</row>
    <row r="23" spans="1:150" ht="14.25" customHeight="1" thickBot="1" x14ac:dyDescent="0.25">
      <c r="A23" s="126"/>
      <c r="B23" s="126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9"/>
      <c r="Z23" s="129"/>
      <c r="AA23" s="129"/>
      <c r="AB23" s="129"/>
      <c r="AC23" s="129"/>
      <c r="AD23" s="130"/>
      <c r="AE23" s="131"/>
      <c r="AF23" s="131"/>
      <c r="AG23" s="131"/>
      <c r="AH23" s="131"/>
      <c r="AI23" s="131"/>
      <c r="AJ23" s="131"/>
      <c r="AK23" s="131"/>
      <c r="AL23" s="131"/>
      <c r="AM23" s="131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6"/>
      <c r="CA23" s="126"/>
      <c r="CB23" s="126"/>
      <c r="CC23" s="126"/>
      <c r="CD23" s="126"/>
      <c r="CE23" s="126"/>
      <c r="CF23" s="126"/>
      <c r="CG23" s="126"/>
      <c r="CH23" s="126"/>
      <c r="CI23" s="338" t="s">
        <v>109</v>
      </c>
      <c r="CJ23" s="317">
        <f>AGI</f>
        <v>0</v>
      </c>
      <c r="CK23" s="126"/>
      <c r="CL23" s="126"/>
      <c r="CN23" s="318">
        <v>8</v>
      </c>
      <c r="CO23" s="323" t="str">
        <f t="shared" si="1"/>
        <v/>
      </c>
      <c r="CP23" s="137" t="str">
        <f t="shared" si="2"/>
        <v/>
      </c>
      <c r="CR23" s="233"/>
    </row>
    <row r="24" spans="1:150" ht="14.25" customHeight="1" thickBot="1" x14ac:dyDescent="0.25">
      <c r="C24" s="124" t="s">
        <v>483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473" t="s">
        <v>415</v>
      </c>
      <c r="Z24" s="474"/>
      <c r="AA24" s="474"/>
      <c r="AB24" s="474"/>
      <c r="AC24" s="514"/>
      <c r="AD24" s="473" t="s">
        <v>416</v>
      </c>
      <c r="AE24" s="474"/>
      <c r="AF24" s="474"/>
      <c r="AG24" s="474"/>
      <c r="AH24" s="475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CI24" s="338" t="s">
        <v>400</v>
      </c>
      <c r="CJ24" s="320">
        <f>AUR</f>
        <v>0</v>
      </c>
      <c r="CN24" s="318">
        <v>9</v>
      </c>
      <c r="CO24" s="323" t="str">
        <f t="shared" si="1"/>
        <v/>
      </c>
      <c r="CP24" s="137" t="str">
        <f t="shared" si="2"/>
        <v/>
      </c>
      <c r="CR24" s="233"/>
    </row>
    <row r="25" spans="1:150" ht="14.25" customHeight="1" x14ac:dyDescent="0.2">
      <c r="C25" s="481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61"/>
      <c r="Z25" s="462"/>
      <c r="AA25" s="462"/>
      <c r="AB25" s="462"/>
      <c r="AC25" s="513"/>
      <c r="AD25" s="449"/>
      <c r="AE25" s="449"/>
      <c r="AF25" s="449"/>
      <c r="AG25" s="449"/>
      <c r="AH25" s="450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CI25" s="338" t="s">
        <v>112</v>
      </c>
      <c r="CJ25" s="318">
        <f>CAR</f>
        <v>0</v>
      </c>
      <c r="CN25" s="318">
        <v>10</v>
      </c>
      <c r="CO25" s="323" t="str">
        <f t="shared" si="1"/>
        <v/>
      </c>
      <c r="CP25" s="137" t="str">
        <f t="shared" si="2"/>
        <v/>
      </c>
      <c r="CR25" s="233"/>
    </row>
    <row r="26" spans="1:150" ht="14.25" customHeight="1" x14ac:dyDescent="0.2">
      <c r="C26" s="481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3"/>
      <c r="Z26" s="484"/>
      <c r="AA26" s="484"/>
      <c r="AB26" s="484"/>
      <c r="AC26" s="485"/>
      <c r="AD26" s="449"/>
      <c r="AE26" s="449"/>
      <c r="AF26" s="449"/>
      <c r="AG26" s="449"/>
      <c r="AH26" s="450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CI26" s="339" t="s">
        <v>183</v>
      </c>
      <c r="CJ26" s="318">
        <f>FIS</f>
        <v>0</v>
      </c>
      <c r="CN26" s="318">
        <v>11</v>
      </c>
      <c r="CO26" s="323" t="str">
        <f t="shared" si="1"/>
        <v/>
      </c>
      <c r="CP26" s="137" t="str">
        <f t="shared" si="2"/>
        <v/>
      </c>
      <c r="CR26" s="233"/>
    </row>
    <row r="27" spans="1:150" ht="14.25" customHeight="1" thickBot="1" x14ac:dyDescent="0.25">
      <c r="C27" s="515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6"/>
      <c r="W27" s="516"/>
      <c r="X27" s="516"/>
      <c r="Y27" s="486"/>
      <c r="Z27" s="487"/>
      <c r="AA27" s="487"/>
      <c r="AB27" s="487"/>
      <c r="AC27" s="488"/>
      <c r="AD27" s="489"/>
      <c r="AE27" s="489"/>
      <c r="AF27" s="489"/>
      <c r="AG27" s="489"/>
      <c r="AH27" s="490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CI27" s="337" t="s">
        <v>119</v>
      </c>
      <c r="CJ27" s="318">
        <f>FOR</f>
        <v>0</v>
      </c>
      <c r="CN27" s="318">
        <v>12</v>
      </c>
      <c r="CO27" s="323" t="str">
        <f t="shared" si="1"/>
        <v/>
      </c>
      <c r="CP27" s="137" t="str">
        <f t="shared" si="2"/>
        <v/>
      </c>
      <c r="CR27" s="233"/>
    </row>
    <row r="28" spans="1:150" ht="13.8" customHeight="1" thickBot="1" x14ac:dyDescent="0.25"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CI28" s="338" t="s">
        <v>399</v>
      </c>
      <c r="CJ28" s="318">
        <f>INT</f>
        <v>0</v>
      </c>
      <c r="CN28" s="318">
        <v>13</v>
      </c>
      <c r="CO28" s="323" t="str">
        <f t="shared" si="1"/>
        <v/>
      </c>
      <c r="CP28" s="137" t="str">
        <f t="shared" si="2"/>
        <v/>
      </c>
      <c r="CR28" s="233"/>
    </row>
    <row r="29" spans="1:150" ht="18" thickBot="1" x14ac:dyDescent="0.35">
      <c r="C29" s="368" t="s">
        <v>67</v>
      </c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369"/>
      <c r="BI29" s="369"/>
      <c r="BJ29" s="369"/>
      <c r="BK29" s="369"/>
      <c r="BL29" s="369"/>
      <c r="BM29" s="369"/>
      <c r="BN29" s="369"/>
      <c r="BO29" s="369"/>
      <c r="BP29" s="369"/>
      <c r="BQ29" s="369"/>
      <c r="BR29" s="369"/>
      <c r="BS29" s="369"/>
      <c r="BT29" s="369"/>
      <c r="BU29" s="369"/>
      <c r="BV29" s="369"/>
      <c r="BW29" s="369"/>
      <c r="BX29" s="369"/>
      <c r="BY29" s="370"/>
      <c r="BZ29" s="194"/>
      <c r="CA29" s="194"/>
      <c r="CB29" s="194"/>
      <c r="CC29" s="194"/>
      <c r="CD29" s="194"/>
      <c r="CE29" s="194"/>
      <c r="CF29" s="194"/>
      <c r="CG29" s="194"/>
      <c r="CH29" s="194"/>
      <c r="CI29" s="338" t="s">
        <v>110</v>
      </c>
      <c r="CJ29" s="318">
        <f>PER</f>
        <v>0</v>
      </c>
      <c r="CK29" s="194"/>
      <c r="CL29" s="194"/>
      <c r="CN29" s="318">
        <v>14</v>
      </c>
      <c r="CO29" s="323" t="str">
        <f t="shared" si="1"/>
        <v/>
      </c>
      <c r="CP29" s="137" t="str">
        <f t="shared" si="2"/>
        <v/>
      </c>
      <c r="CR29" s="233"/>
    </row>
    <row r="30" spans="1:150" ht="14.25" customHeight="1" thickBot="1" x14ac:dyDescent="0.25">
      <c r="CI30" s="338" t="s">
        <v>182</v>
      </c>
      <c r="CJ30" s="318">
        <v>0</v>
      </c>
      <c r="CN30" s="318">
        <v>15</v>
      </c>
      <c r="CO30" s="323" t="str">
        <f t="shared" si="1"/>
        <v/>
      </c>
      <c r="CP30" s="137" t="str">
        <f t="shared" si="2"/>
        <v/>
      </c>
      <c r="CR30" s="233"/>
    </row>
    <row r="31" spans="1:150" ht="14.25" customHeight="1" thickBot="1" x14ac:dyDescent="0.25">
      <c r="C31" s="116" t="s">
        <v>510</v>
      </c>
      <c r="O31" s="383" t="e">
        <f>VLOOKUP(Profissao,TabelaPontosCombate,3,FALSE)* Estagio</f>
        <v>#N/A</v>
      </c>
      <c r="P31" s="384"/>
      <c r="Q31" s="384"/>
      <c r="R31" s="384"/>
      <c r="S31" s="385"/>
      <c r="U31" s="116" t="s">
        <v>511</v>
      </c>
      <c r="AH31" s="442" t="e">
        <f>O31-CI82</f>
        <v>#N/A</v>
      </c>
      <c r="AI31" s="443"/>
      <c r="AJ31" s="443"/>
      <c r="AK31" s="443"/>
      <c r="AL31" s="444"/>
      <c r="AM31" s="133"/>
      <c r="CI31" s="338"/>
      <c r="CJ31" s="318"/>
      <c r="CM31" s="133"/>
      <c r="CN31" s="233"/>
      <c r="CR31" s="233"/>
    </row>
    <row r="32" spans="1:150" ht="14.25" customHeight="1" thickBot="1" x14ac:dyDescent="0.25"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N32" s="233"/>
      <c r="CR32" s="233"/>
    </row>
    <row r="33" spans="2:106" ht="14.25" customHeight="1" thickBot="1" x14ac:dyDescent="0.25">
      <c r="C33" s="504" t="s">
        <v>682</v>
      </c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6"/>
      <c r="X33" s="438" t="s">
        <v>19</v>
      </c>
      <c r="Y33" s="439"/>
      <c r="Z33" s="439"/>
      <c r="AA33" s="439"/>
      <c r="AB33" s="440"/>
      <c r="AC33" s="438" t="s">
        <v>114</v>
      </c>
      <c r="AD33" s="439"/>
      <c r="AE33" s="439"/>
      <c r="AF33" s="439"/>
      <c r="AG33" s="440"/>
      <c r="AH33" s="438" t="s">
        <v>35</v>
      </c>
      <c r="AI33" s="439"/>
      <c r="AJ33" s="439"/>
      <c r="AK33" s="439"/>
      <c r="AL33" s="440"/>
      <c r="AM33" s="438" t="s">
        <v>17</v>
      </c>
      <c r="AN33" s="439"/>
      <c r="AO33" s="439"/>
      <c r="AP33" s="439"/>
      <c r="AQ33" s="494"/>
      <c r="AR33" s="12"/>
      <c r="CI33" s="334" t="s">
        <v>75</v>
      </c>
      <c r="CK33" s="344" t="s">
        <v>185</v>
      </c>
      <c r="CL33" s="344"/>
      <c r="CM33" s="344"/>
      <c r="CN33" s="233"/>
      <c r="CR33" s="134"/>
      <c r="CV33" s="116"/>
      <c r="CZ33" s="135"/>
      <c r="DA33" s="116"/>
      <c r="DB33" s="116"/>
    </row>
    <row r="34" spans="2:106" ht="14.25" customHeight="1" x14ac:dyDescent="0.2">
      <c r="B34" s="116">
        <f>IF(X34&lt;&gt;"",1,0)</f>
        <v>0</v>
      </c>
      <c r="C34" s="492" t="str">
        <f t="shared" ref="C34:C45" si="3">CK34</f>
        <v>Aparar</v>
      </c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Q34" s="493"/>
      <c r="R34" s="493"/>
      <c r="S34" s="493"/>
      <c r="T34" s="493"/>
      <c r="U34" s="493"/>
      <c r="V34" s="493"/>
      <c r="W34" s="493"/>
      <c r="X34" s="491"/>
      <c r="Y34" s="491"/>
      <c r="Z34" s="491"/>
      <c r="AA34" s="491"/>
      <c r="AB34" s="491"/>
      <c r="AC34" s="441">
        <f t="shared" ref="AC34:AC45" si="4">CL34</f>
        <v>2</v>
      </c>
      <c r="AD34" s="441"/>
      <c r="AE34" s="441"/>
      <c r="AF34" s="441"/>
      <c r="AG34" s="441"/>
      <c r="AH34" s="441" t="str">
        <f t="shared" ref="AH34:AH45" si="5">CM34</f>
        <v>For</v>
      </c>
      <c r="AI34" s="441"/>
      <c r="AJ34" s="441"/>
      <c r="AK34" s="441"/>
      <c r="AL34" s="441"/>
      <c r="AM34" s="387" t="str">
        <f t="shared" ref="AM34:AM45" si="6">IF(X34&gt;0,VLOOKUP(AH34,$CI$23:$CJ$30,2,FALSE)+X34,"")</f>
        <v/>
      </c>
      <c r="AN34" s="387"/>
      <c r="AO34" s="387"/>
      <c r="AP34" s="387"/>
      <c r="AQ34" s="405"/>
      <c r="AR34" s="136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320">
        <f t="shared" ref="CI34:CI45" si="7">IF(X34&lt;&gt;"",AC34*X34,0)</f>
        <v>0</v>
      </c>
      <c r="CJ34" s="12"/>
      <c r="CK34" s="3" t="s">
        <v>685</v>
      </c>
      <c r="CL34" s="4">
        <v>2</v>
      </c>
      <c r="CM34" s="4" t="s">
        <v>119</v>
      </c>
      <c r="CN34" s="322"/>
      <c r="CR34" s="134"/>
      <c r="CZ34" s="336"/>
      <c r="DA34" s="116"/>
      <c r="DB34" s="116"/>
    </row>
    <row r="35" spans="2:106" ht="14.25" customHeight="1" x14ac:dyDescent="0.2">
      <c r="B35" s="116">
        <f t="shared" ref="B35:B43" si="8">IF(X35&lt;&gt;"",B34+1,B34)</f>
        <v>0</v>
      </c>
      <c r="C35" s="432" t="str">
        <f t="shared" si="3"/>
        <v>Ataque Oportuno</v>
      </c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0"/>
      <c r="Y35" s="430"/>
      <c r="Z35" s="430"/>
      <c r="AA35" s="430"/>
      <c r="AB35" s="430"/>
      <c r="AC35" s="441">
        <f t="shared" si="4"/>
        <v>1</v>
      </c>
      <c r="AD35" s="441"/>
      <c r="AE35" s="441"/>
      <c r="AF35" s="441"/>
      <c r="AG35" s="441"/>
      <c r="AH35" s="441" t="str">
        <f t="shared" si="5"/>
        <v>Per</v>
      </c>
      <c r="AI35" s="441"/>
      <c r="AJ35" s="441"/>
      <c r="AK35" s="441"/>
      <c r="AL35" s="441"/>
      <c r="AM35" s="387" t="str">
        <f t="shared" si="6"/>
        <v/>
      </c>
      <c r="AN35" s="387"/>
      <c r="AO35" s="387"/>
      <c r="AP35" s="387"/>
      <c r="AQ35" s="405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224"/>
      <c r="CH35" s="224"/>
      <c r="CI35" s="320">
        <f t="shared" si="7"/>
        <v>0</v>
      </c>
      <c r="CJ35" s="224"/>
      <c r="CK35" s="3" t="s">
        <v>686</v>
      </c>
      <c r="CL35" s="4">
        <v>1</v>
      </c>
      <c r="CM35" s="4" t="s">
        <v>110</v>
      </c>
      <c r="CN35" s="319"/>
      <c r="CR35" s="134"/>
      <c r="CZ35" s="336"/>
      <c r="DA35" s="116"/>
      <c r="DB35" s="116"/>
    </row>
    <row r="36" spans="2:106" ht="14.25" customHeight="1" x14ac:dyDescent="0.2">
      <c r="B36" s="116">
        <f t="shared" si="8"/>
        <v>0</v>
      </c>
      <c r="C36" s="432" t="str">
        <f t="shared" si="3"/>
        <v>Carga</v>
      </c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0"/>
      <c r="Y36" s="430"/>
      <c r="Z36" s="430"/>
      <c r="AA36" s="430"/>
      <c r="AB36" s="430"/>
      <c r="AC36" s="441">
        <f t="shared" si="4"/>
        <v>1</v>
      </c>
      <c r="AD36" s="441"/>
      <c r="AE36" s="441"/>
      <c r="AF36" s="441"/>
      <c r="AG36" s="441"/>
      <c r="AH36" s="441" t="str">
        <f t="shared" si="5"/>
        <v>Fís</v>
      </c>
      <c r="AI36" s="441"/>
      <c r="AJ36" s="441"/>
      <c r="AK36" s="441"/>
      <c r="AL36" s="441"/>
      <c r="AM36" s="387" t="str">
        <f t="shared" si="6"/>
        <v/>
      </c>
      <c r="AN36" s="387"/>
      <c r="AO36" s="387"/>
      <c r="AP36" s="387"/>
      <c r="AQ36" s="405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224"/>
      <c r="CH36" s="224"/>
      <c r="CI36" s="320">
        <f t="shared" si="7"/>
        <v>0</v>
      </c>
      <c r="CJ36" s="224"/>
      <c r="CK36" s="3" t="s">
        <v>687</v>
      </c>
      <c r="CL36" s="4">
        <v>1</v>
      </c>
      <c r="CM36" s="4" t="s">
        <v>183</v>
      </c>
      <c r="CN36" s="319"/>
      <c r="CR36" s="134"/>
      <c r="CZ36" s="336"/>
      <c r="DA36" s="116"/>
      <c r="DB36" s="116"/>
    </row>
    <row r="37" spans="2:106" ht="14.25" customHeight="1" x14ac:dyDescent="0.2">
      <c r="B37" s="116">
        <f t="shared" si="8"/>
        <v>0</v>
      </c>
      <c r="C37" s="432" t="str">
        <f t="shared" si="3"/>
        <v>Combate não Letal</v>
      </c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0"/>
      <c r="Y37" s="430"/>
      <c r="Z37" s="430"/>
      <c r="AA37" s="430"/>
      <c r="AB37" s="430"/>
      <c r="AC37" s="441">
        <f t="shared" si="4"/>
        <v>1</v>
      </c>
      <c r="AD37" s="441"/>
      <c r="AE37" s="441"/>
      <c r="AF37" s="441"/>
      <c r="AG37" s="441"/>
      <c r="AH37" s="441" t="str">
        <f t="shared" si="5"/>
        <v>Per</v>
      </c>
      <c r="AI37" s="441"/>
      <c r="AJ37" s="441"/>
      <c r="AK37" s="441"/>
      <c r="AL37" s="441"/>
      <c r="AM37" s="387" t="str">
        <f t="shared" si="6"/>
        <v/>
      </c>
      <c r="AN37" s="387"/>
      <c r="AO37" s="387"/>
      <c r="AP37" s="387"/>
      <c r="AQ37" s="405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224"/>
      <c r="CH37" s="224"/>
      <c r="CI37" s="320">
        <f t="shared" si="7"/>
        <v>0</v>
      </c>
      <c r="CJ37" s="224"/>
      <c r="CK37" s="3" t="s">
        <v>688</v>
      </c>
      <c r="CL37" s="4">
        <v>1</v>
      </c>
      <c r="CM37" s="4" t="s">
        <v>110</v>
      </c>
      <c r="CN37" s="319"/>
      <c r="CR37" s="134"/>
      <c r="CZ37" s="336"/>
      <c r="DA37" s="116"/>
      <c r="DB37" s="116"/>
    </row>
    <row r="38" spans="2:106" ht="14.25" customHeight="1" x14ac:dyDescent="0.2">
      <c r="B38" s="116">
        <f t="shared" si="8"/>
        <v>0</v>
      </c>
      <c r="C38" s="432" t="str">
        <f t="shared" si="3"/>
        <v>Combate Montado</v>
      </c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0"/>
      <c r="Y38" s="430"/>
      <c r="Z38" s="430"/>
      <c r="AA38" s="430"/>
      <c r="AB38" s="430"/>
      <c r="AC38" s="441">
        <f t="shared" si="4"/>
        <v>2</v>
      </c>
      <c r="AD38" s="441"/>
      <c r="AE38" s="441"/>
      <c r="AF38" s="441"/>
      <c r="AG38" s="441"/>
      <c r="AH38" s="441" t="str">
        <f t="shared" si="5"/>
        <v>Fís</v>
      </c>
      <c r="AI38" s="441"/>
      <c r="AJ38" s="441"/>
      <c r="AK38" s="441"/>
      <c r="AL38" s="441"/>
      <c r="AM38" s="387" t="str">
        <f t="shared" si="6"/>
        <v/>
      </c>
      <c r="AN38" s="387"/>
      <c r="AO38" s="387"/>
      <c r="AP38" s="387"/>
      <c r="AQ38" s="405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224"/>
      <c r="CH38" s="224"/>
      <c r="CI38" s="320">
        <f t="shared" si="7"/>
        <v>0</v>
      </c>
      <c r="CJ38" s="224"/>
      <c r="CK38" s="3" t="s">
        <v>689</v>
      </c>
      <c r="CL38" s="4">
        <v>2</v>
      </c>
      <c r="CM38" s="4" t="s">
        <v>183</v>
      </c>
      <c r="CN38" s="319"/>
      <c r="CR38" s="134"/>
      <c r="CZ38" s="336"/>
      <c r="DA38" s="116"/>
      <c r="DB38" s="116"/>
    </row>
    <row r="39" spans="2:106" ht="14.25" customHeight="1" x14ac:dyDescent="0.2">
      <c r="B39" s="116">
        <f t="shared" si="8"/>
        <v>0</v>
      </c>
      <c r="C39" s="432" t="str">
        <f t="shared" si="3"/>
        <v>Concentração</v>
      </c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0"/>
      <c r="Y39" s="430"/>
      <c r="Z39" s="430"/>
      <c r="AA39" s="430"/>
      <c r="AB39" s="430"/>
      <c r="AC39" s="441">
        <f t="shared" si="4"/>
        <v>1</v>
      </c>
      <c r="AD39" s="441"/>
      <c r="AE39" s="441"/>
      <c r="AF39" s="441"/>
      <c r="AG39" s="441"/>
      <c r="AH39" s="441" t="str">
        <f t="shared" si="5"/>
        <v>Int</v>
      </c>
      <c r="AI39" s="441"/>
      <c r="AJ39" s="441"/>
      <c r="AK39" s="441"/>
      <c r="AL39" s="441"/>
      <c r="AM39" s="387" t="str">
        <f t="shared" si="6"/>
        <v/>
      </c>
      <c r="AN39" s="387"/>
      <c r="AO39" s="387"/>
      <c r="AP39" s="387"/>
      <c r="AQ39" s="405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224"/>
      <c r="CH39" s="224"/>
      <c r="CI39" s="320">
        <f t="shared" si="7"/>
        <v>0</v>
      </c>
      <c r="CJ39" s="224"/>
      <c r="CK39" s="3" t="s">
        <v>690</v>
      </c>
      <c r="CL39" s="4">
        <v>1</v>
      </c>
      <c r="CM39" s="4" t="s">
        <v>399</v>
      </c>
      <c r="CN39" s="319"/>
      <c r="CO39" s="319"/>
      <c r="CP39" s="319"/>
      <c r="CQ39" s="319"/>
      <c r="CR39" s="134"/>
      <c r="CZ39" s="336"/>
      <c r="DA39" s="116"/>
      <c r="DB39" s="116"/>
    </row>
    <row r="40" spans="2:106" ht="14.25" customHeight="1" x14ac:dyDescent="0.2">
      <c r="B40" s="116">
        <f t="shared" si="8"/>
        <v>0</v>
      </c>
      <c r="C40" s="432" t="str">
        <f t="shared" si="3"/>
        <v>Desviar</v>
      </c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0"/>
      <c r="Y40" s="430"/>
      <c r="Z40" s="430"/>
      <c r="AA40" s="430"/>
      <c r="AB40" s="430"/>
      <c r="AC40" s="441">
        <f t="shared" si="4"/>
        <v>2</v>
      </c>
      <c r="AD40" s="441"/>
      <c r="AE40" s="441"/>
      <c r="AF40" s="441"/>
      <c r="AG40" s="441"/>
      <c r="AH40" s="441" t="str">
        <f t="shared" si="5"/>
        <v>Agi</v>
      </c>
      <c r="AI40" s="441"/>
      <c r="AJ40" s="441"/>
      <c r="AK40" s="441"/>
      <c r="AL40" s="441"/>
      <c r="AM40" s="387" t="str">
        <f t="shared" si="6"/>
        <v/>
      </c>
      <c r="AN40" s="387"/>
      <c r="AO40" s="387"/>
      <c r="AP40" s="387"/>
      <c r="AQ40" s="405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224"/>
      <c r="CH40" s="224"/>
      <c r="CI40" s="320">
        <f t="shared" si="7"/>
        <v>0</v>
      </c>
      <c r="CJ40" s="224"/>
      <c r="CK40" s="3" t="s">
        <v>691</v>
      </c>
      <c r="CL40" s="4">
        <v>2</v>
      </c>
      <c r="CM40" s="4" t="s">
        <v>109</v>
      </c>
      <c r="CN40" s="319"/>
      <c r="CO40" s="319"/>
      <c r="CP40" s="319"/>
      <c r="CQ40" s="319"/>
      <c r="CR40" s="134"/>
      <c r="CZ40" s="336"/>
      <c r="DA40" s="116"/>
      <c r="DB40" s="116"/>
    </row>
    <row r="41" spans="2:106" ht="14.25" customHeight="1" x14ac:dyDescent="0.2">
      <c r="B41" s="116">
        <f t="shared" si="8"/>
        <v>0</v>
      </c>
      <c r="C41" s="432" t="str">
        <f t="shared" si="3"/>
        <v>Esquiva</v>
      </c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0"/>
      <c r="Y41" s="430"/>
      <c r="Z41" s="430"/>
      <c r="AA41" s="430"/>
      <c r="AB41" s="430"/>
      <c r="AC41" s="441">
        <f t="shared" si="4"/>
        <v>1</v>
      </c>
      <c r="AD41" s="441"/>
      <c r="AE41" s="441"/>
      <c r="AF41" s="441"/>
      <c r="AG41" s="441"/>
      <c r="AH41" s="441" t="str">
        <f t="shared" si="5"/>
        <v>Agi</v>
      </c>
      <c r="AI41" s="441"/>
      <c r="AJ41" s="441"/>
      <c r="AK41" s="441"/>
      <c r="AL41" s="441"/>
      <c r="AM41" s="387" t="str">
        <f t="shared" si="6"/>
        <v/>
      </c>
      <c r="AN41" s="387"/>
      <c r="AO41" s="387"/>
      <c r="AP41" s="387"/>
      <c r="AQ41" s="405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224"/>
      <c r="CH41" s="224"/>
      <c r="CI41" s="320">
        <f t="shared" si="7"/>
        <v>0</v>
      </c>
      <c r="CJ41" s="224"/>
      <c r="CK41" s="3" t="s">
        <v>692</v>
      </c>
      <c r="CL41" s="4">
        <v>1</v>
      </c>
      <c r="CM41" s="4" t="s">
        <v>109</v>
      </c>
      <c r="CN41" s="319"/>
      <c r="CO41" s="319"/>
      <c r="CP41" s="319"/>
      <c r="CQ41" s="319"/>
      <c r="CR41" s="134"/>
      <c r="CZ41" s="336"/>
      <c r="DA41" s="116"/>
      <c r="DB41" s="116"/>
    </row>
    <row r="42" spans="2:106" ht="14.25" customHeight="1" x14ac:dyDescent="0.2">
      <c r="B42" s="116">
        <f t="shared" si="8"/>
        <v>0</v>
      </c>
      <c r="C42" s="432" t="str">
        <f t="shared" si="3"/>
        <v>Imprevisibilidade</v>
      </c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0"/>
      <c r="Y42" s="430"/>
      <c r="Z42" s="430"/>
      <c r="AA42" s="430"/>
      <c r="AB42" s="430"/>
      <c r="AC42" s="441">
        <f t="shared" si="4"/>
        <v>2</v>
      </c>
      <c r="AD42" s="441"/>
      <c r="AE42" s="441"/>
      <c r="AF42" s="441"/>
      <c r="AG42" s="441"/>
      <c r="AH42" s="441" t="str">
        <f t="shared" si="5"/>
        <v>Per</v>
      </c>
      <c r="AI42" s="441"/>
      <c r="AJ42" s="441"/>
      <c r="AK42" s="441"/>
      <c r="AL42" s="441"/>
      <c r="AM42" s="387" t="str">
        <f t="shared" si="6"/>
        <v/>
      </c>
      <c r="AN42" s="387"/>
      <c r="AO42" s="387"/>
      <c r="AP42" s="387"/>
      <c r="AQ42" s="405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224"/>
      <c r="CH42" s="224"/>
      <c r="CI42" s="320">
        <f t="shared" si="7"/>
        <v>0</v>
      </c>
      <c r="CJ42" s="224"/>
      <c r="CK42" s="3" t="s">
        <v>693</v>
      </c>
      <c r="CL42" s="4">
        <v>2</v>
      </c>
      <c r="CM42" s="4" t="s">
        <v>110</v>
      </c>
      <c r="CN42" s="319"/>
      <c r="CO42" s="319"/>
      <c r="CP42" s="319"/>
      <c r="CQ42" s="319"/>
      <c r="CR42" s="134"/>
      <c r="CZ42" s="336"/>
      <c r="DA42" s="116"/>
      <c r="DB42" s="116"/>
    </row>
    <row r="43" spans="2:106" ht="13.8" customHeight="1" x14ac:dyDescent="0.2">
      <c r="B43" s="116">
        <f t="shared" si="8"/>
        <v>0</v>
      </c>
      <c r="C43" s="432" t="str">
        <f t="shared" si="3"/>
        <v>Luta às Cegas</v>
      </c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0"/>
      <c r="Y43" s="430"/>
      <c r="Z43" s="430"/>
      <c r="AA43" s="430"/>
      <c r="AB43" s="430"/>
      <c r="AC43" s="441">
        <f t="shared" si="4"/>
        <v>1</v>
      </c>
      <c r="AD43" s="441"/>
      <c r="AE43" s="441"/>
      <c r="AF43" s="441"/>
      <c r="AG43" s="441"/>
      <c r="AH43" s="441" t="str">
        <f t="shared" si="5"/>
        <v>Per</v>
      </c>
      <c r="AI43" s="441"/>
      <c r="AJ43" s="441"/>
      <c r="AK43" s="441"/>
      <c r="AL43" s="441"/>
      <c r="AM43" s="387" t="str">
        <f t="shared" si="6"/>
        <v/>
      </c>
      <c r="AN43" s="387"/>
      <c r="AO43" s="387"/>
      <c r="AP43" s="387"/>
      <c r="AQ43" s="405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224"/>
      <c r="CH43" s="224"/>
      <c r="CI43" s="320">
        <f t="shared" si="7"/>
        <v>0</v>
      </c>
      <c r="CJ43" s="224"/>
      <c r="CK43" s="3" t="s">
        <v>694</v>
      </c>
      <c r="CL43" s="4">
        <v>1</v>
      </c>
      <c r="CM43" s="4" t="s">
        <v>110</v>
      </c>
      <c r="CN43" s="319"/>
      <c r="CO43" s="319"/>
      <c r="CP43" s="319"/>
      <c r="CQ43" s="319"/>
      <c r="CR43" s="134"/>
      <c r="CZ43" s="336"/>
      <c r="DA43" s="116"/>
      <c r="DB43" s="116"/>
    </row>
    <row r="44" spans="2:106" ht="14.25" customHeight="1" x14ac:dyDescent="0.2">
      <c r="B44" s="116">
        <f>IF(X44&lt;&gt;"",B43+1,B43)</f>
        <v>0</v>
      </c>
      <c r="C44" s="432" t="str">
        <f t="shared" si="3"/>
        <v>Provocar</v>
      </c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0"/>
      <c r="Y44" s="430"/>
      <c r="Z44" s="430"/>
      <c r="AA44" s="430"/>
      <c r="AB44" s="430"/>
      <c r="AC44" s="441">
        <f t="shared" si="4"/>
        <v>2</v>
      </c>
      <c r="AD44" s="441"/>
      <c r="AE44" s="441"/>
      <c r="AF44" s="441"/>
      <c r="AG44" s="441"/>
      <c r="AH44" s="441" t="str">
        <f t="shared" si="5"/>
        <v>-</v>
      </c>
      <c r="AI44" s="441"/>
      <c r="AJ44" s="441"/>
      <c r="AK44" s="441"/>
      <c r="AL44" s="441"/>
      <c r="AM44" s="387" t="str">
        <f t="shared" si="6"/>
        <v/>
      </c>
      <c r="AN44" s="387"/>
      <c r="AO44" s="387"/>
      <c r="AP44" s="387"/>
      <c r="AQ44" s="405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224"/>
      <c r="CH44" s="224"/>
      <c r="CI44" s="320">
        <f t="shared" si="7"/>
        <v>0</v>
      </c>
      <c r="CJ44" s="224"/>
      <c r="CK44" s="3" t="s">
        <v>695</v>
      </c>
      <c r="CL44" s="4">
        <v>2</v>
      </c>
      <c r="CM44" s="4" t="s">
        <v>182</v>
      </c>
      <c r="CN44" s="319"/>
      <c r="CO44" s="319"/>
      <c r="CP44" s="319"/>
      <c r="CQ44" s="319"/>
      <c r="CR44" s="136"/>
      <c r="CZ44" s="336"/>
      <c r="DA44" s="116"/>
      <c r="DB44" s="116"/>
    </row>
    <row r="45" spans="2:106" ht="14.25" customHeight="1" thickBot="1" x14ac:dyDescent="0.25">
      <c r="B45" s="116">
        <f t="shared" ref="B45" si="9">IF(X45&lt;&gt;"",B44+1,B44)</f>
        <v>0</v>
      </c>
      <c r="C45" s="434" t="str">
        <f t="shared" si="3"/>
        <v>Resistência à Dor</v>
      </c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1"/>
      <c r="Y45" s="431"/>
      <c r="Z45" s="431"/>
      <c r="AA45" s="431"/>
      <c r="AB45" s="431"/>
      <c r="AC45" s="441">
        <f t="shared" si="4"/>
        <v>2</v>
      </c>
      <c r="AD45" s="441"/>
      <c r="AE45" s="441"/>
      <c r="AF45" s="441"/>
      <c r="AG45" s="441"/>
      <c r="AH45" s="441" t="str">
        <f t="shared" si="5"/>
        <v>Fís</v>
      </c>
      <c r="AI45" s="441"/>
      <c r="AJ45" s="441"/>
      <c r="AK45" s="441"/>
      <c r="AL45" s="441"/>
      <c r="AM45" s="387" t="str">
        <f t="shared" si="6"/>
        <v/>
      </c>
      <c r="AN45" s="387"/>
      <c r="AO45" s="387"/>
      <c r="AP45" s="387"/>
      <c r="AQ45" s="405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224"/>
      <c r="CH45" s="224"/>
      <c r="CI45" s="320">
        <f t="shared" si="7"/>
        <v>0</v>
      </c>
      <c r="CJ45" s="224"/>
      <c r="CK45" s="3" t="s">
        <v>696</v>
      </c>
      <c r="CL45" s="4">
        <v>2</v>
      </c>
      <c r="CM45" s="4" t="s">
        <v>183</v>
      </c>
      <c r="CN45" s="319"/>
      <c r="CO45" s="319"/>
      <c r="CP45" s="319"/>
      <c r="CQ45" s="319"/>
      <c r="CR45" s="136"/>
      <c r="CZ45" s="336"/>
      <c r="DA45" s="116"/>
      <c r="DB45" s="116"/>
    </row>
    <row r="46" spans="2:106" ht="14.25" customHeight="1" thickBot="1" x14ac:dyDescent="0.25">
      <c r="C46" s="135"/>
      <c r="D46" s="135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316"/>
      <c r="Y46" s="316"/>
      <c r="Z46" s="316"/>
      <c r="AA46" s="316"/>
      <c r="AB46" s="316">
        <f>COLUMN()</f>
        <v>28</v>
      </c>
      <c r="AC46" s="319"/>
      <c r="AD46" s="319"/>
      <c r="AE46" s="319"/>
      <c r="AF46" s="319"/>
      <c r="AG46" s="319"/>
      <c r="AH46" s="6"/>
      <c r="AI46" s="6"/>
      <c r="AJ46" s="6"/>
      <c r="AK46" s="6"/>
      <c r="AL46" s="6"/>
      <c r="AM46" s="319"/>
      <c r="AN46" s="319"/>
      <c r="AO46" s="319"/>
      <c r="AP46" s="319"/>
      <c r="AQ46" s="319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224"/>
      <c r="CH46" s="224"/>
      <c r="CI46" s="335"/>
      <c r="CJ46" s="224"/>
      <c r="CK46" s="224"/>
      <c r="CL46" s="224"/>
      <c r="CM46" s="224"/>
      <c r="CN46" s="319"/>
      <c r="CO46" s="319"/>
      <c r="CP46" s="319"/>
      <c r="CQ46" s="319"/>
      <c r="DA46" s="116"/>
      <c r="DB46" s="116"/>
    </row>
    <row r="47" spans="2:106" ht="14.25" customHeight="1" thickBot="1" x14ac:dyDescent="0.25">
      <c r="C47" s="504" t="s">
        <v>683</v>
      </c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6"/>
      <c r="X47" s="438" t="s">
        <v>19</v>
      </c>
      <c r="Y47" s="439"/>
      <c r="Z47" s="439"/>
      <c r="AA47" s="439"/>
      <c r="AB47" s="440"/>
      <c r="AC47" s="438" t="s">
        <v>114</v>
      </c>
      <c r="AD47" s="439"/>
      <c r="AE47" s="439"/>
      <c r="AF47" s="439"/>
      <c r="AG47" s="440"/>
      <c r="AH47" s="438" t="s">
        <v>35</v>
      </c>
      <c r="AI47" s="439"/>
      <c r="AJ47" s="439"/>
      <c r="AK47" s="439"/>
      <c r="AL47" s="440"/>
      <c r="AM47" s="438" t="s">
        <v>17</v>
      </c>
      <c r="AN47" s="439"/>
      <c r="AO47" s="439"/>
      <c r="AP47" s="439"/>
      <c r="AQ47" s="494"/>
      <c r="AR47" s="12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224"/>
      <c r="CI47" s="335"/>
      <c r="CK47" s="354" t="s">
        <v>103</v>
      </c>
      <c r="CL47" s="355" t="s">
        <v>35</v>
      </c>
      <c r="CM47" s="356" t="s">
        <v>114</v>
      </c>
      <c r="CN47" s="333"/>
      <c r="CO47" s="353" t="s">
        <v>104</v>
      </c>
      <c r="CP47" s="353" t="s">
        <v>35</v>
      </c>
      <c r="CQ47" s="353" t="s">
        <v>114</v>
      </c>
      <c r="CR47" s="134" t="str">
        <f>IF(AND(DH55&gt;0,OR(ISERROR(VLOOKUP(CN29,$D$11:$AC$23,1,FALSE)),IF(NOT(ISERROR(VLOOKUP(CN29,$D$11:$AC$23,22,FALSE))),IF(VLOOKUP(CN29,$D$11:$AC$23,22,FALSE)&gt;0,FALSE,TRUE)))),COUNT($C$11:CM46)+1,"")</f>
        <v/>
      </c>
      <c r="DA47" s="116"/>
      <c r="DB47" s="116"/>
    </row>
    <row r="48" spans="2:106" ht="14.25" customHeight="1" x14ac:dyDescent="0.2">
      <c r="B48" s="116">
        <f>IF(X48&lt;&gt;"",B45+1,B45)</f>
        <v>0</v>
      </c>
      <c r="C48" s="492" t="str">
        <f t="shared" ref="C48:C67" si="10">IF(Profissao="Guerreiro",CK48,IF(Profissao="Ladino",CO48,""))</f>
        <v/>
      </c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1"/>
      <c r="Y48" s="491"/>
      <c r="Z48" s="491"/>
      <c r="AA48" s="491"/>
      <c r="AB48" s="491"/>
      <c r="AC48" s="441" t="str">
        <f t="shared" ref="AC48:AC67" si="11">IF(Profissao="Guerreiro",CM48,IF(Profissao="Ladino",CQ48,""))</f>
        <v/>
      </c>
      <c r="AD48" s="441"/>
      <c r="AE48" s="441"/>
      <c r="AF48" s="441"/>
      <c r="AG48" s="441"/>
      <c r="AH48" s="441" t="str">
        <f t="shared" ref="AH48:AH67" si="12">IF(Profissao="Guerreiro",CL48,IF(Profissao="Ladino",CP48,""))</f>
        <v/>
      </c>
      <c r="AI48" s="441"/>
      <c r="AJ48" s="441"/>
      <c r="AK48" s="441"/>
      <c r="AL48" s="441"/>
      <c r="AM48" s="387" t="str">
        <f t="shared" ref="AM48:AM67" si="13">IF(X48&gt;0,VLOOKUP(AH48,$CI$23:$CJ$30,2,FALSE)+X48,"")</f>
        <v/>
      </c>
      <c r="AN48" s="387"/>
      <c r="AO48" s="387"/>
      <c r="AP48" s="387"/>
      <c r="AQ48" s="405"/>
      <c r="AR48" s="136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I48" s="320">
        <f>IF(X48&lt;&gt;"",AC48*X48,0)</f>
        <v>0</v>
      </c>
      <c r="CK48" s="328" t="s">
        <v>697</v>
      </c>
      <c r="CL48" s="329" t="s">
        <v>182</v>
      </c>
      <c r="CM48" s="330">
        <v>2</v>
      </c>
      <c r="CN48" s="327"/>
      <c r="CO48" s="331" t="s">
        <v>697</v>
      </c>
      <c r="CP48" s="331" t="s">
        <v>182</v>
      </c>
      <c r="CQ48" s="331">
        <v>2</v>
      </c>
      <c r="CR48" s="134" t="str">
        <f>IF(AND(DH56&gt;0,OR(ISERROR(VLOOKUP(CN30,$D$11:$AC$23,1,FALSE)),IF(NOT(ISERROR(VLOOKUP(CN30,$D$11:$AC$23,22,FALSE))),IF(VLOOKUP(CN30,$D$11:$AC$23,22,FALSE)&gt;0,FALSE,TRUE)))),COUNT($C$11:CM47)+1,"")</f>
        <v/>
      </c>
      <c r="DA48" s="116"/>
      <c r="DB48" s="116"/>
    </row>
    <row r="49" spans="2:135" ht="14.25" customHeight="1" x14ac:dyDescent="0.2">
      <c r="B49" s="116">
        <f t="shared" ref="B49:B67" si="14">IF(X49&lt;&gt;"",B48+1,B48)</f>
        <v>0</v>
      </c>
      <c r="C49" s="432" t="str">
        <f t="shared" si="10"/>
        <v/>
      </c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0"/>
      <c r="Y49" s="430"/>
      <c r="Z49" s="430"/>
      <c r="AA49" s="430"/>
      <c r="AB49" s="430"/>
      <c r="AC49" s="436" t="str">
        <f t="shared" si="11"/>
        <v/>
      </c>
      <c r="AD49" s="436"/>
      <c r="AE49" s="436"/>
      <c r="AF49" s="436"/>
      <c r="AG49" s="436"/>
      <c r="AH49" s="436" t="str">
        <f t="shared" si="12"/>
        <v/>
      </c>
      <c r="AI49" s="436"/>
      <c r="AJ49" s="436"/>
      <c r="AK49" s="436"/>
      <c r="AL49" s="436"/>
      <c r="AM49" s="382" t="str">
        <f t="shared" si="13"/>
        <v/>
      </c>
      <c r="AN49" s="382"/>
      <c r="AO49" s="382"/>
      <c r="AP49" s="382"/>
      <c r="AQ49" s="38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224"/>
      <c r="CI49" s="320">
        <f t="shared" ref="CI49:CI67" si="15">IF(X49&lt;&gt;"",AC49*X49,0)</f>
        <v>0</v>
      </c>
      <c r="CK49" s="328" t="s">
        <v>698</v>
      </c>
      <c r="CL49" s="329" t="s">
        <v>182</v>
      </c>
      <c r="CM49" s="330">
        <v>2</v>
      </c>
      <c r="CN49" s="327"/>
      <c r="CO49" s="331" t="s">
        <v>698</v>
      </c>
      <c r="CP49" s="331" t="s">
        <v>182</v>
      </c>
      <c r="CQ49" s="331">
        <v>2</v>
      </c>
      <c r="CR49" s="134" t="str">
        <f>IF(AND(DH57&gt;0,OR(ISERROR(VLOOKUP(#REF!,$D$11:$AC$23,1,FALSE)),IF(NOT(ISERROR(VLOOKUP(#REF!,$D$11:$AC$23,22,FALSE))),IF(VLOOKUP(#REF!,$D$11:$AC$23,22,FALSE)&gt;0,FALSE,TRUE)))),COUNT($C$11:CM48)+1,"")</f>
        <v/>
      </c>
      <c r="DA49" s="116"/>
      <c r="DB49" s="116"/>
    </row>
    <row r="50" spans="2:135" ht="14.25" customHeight="1" x14ac:dyDescent="0.2">
      <c r="B50" s="116">
        <f t="shared" si="14"/>
        <v>0</v>
      </c>
      <c r="C50" s="432" t="str">
        <f t="shared" si="10"/>
        <v/>
      </c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0"/>
      <c r="Y50" s="430"/>
      <c r="Z50" s="430"/>
      <c r="AA50" s="430"/>
      <c r="AB50" s="430"/>
      <c r="AC50" s="436" t="str">
        <f t="shared" si="11"/>
        <v/>
      </c>
      <c r="AD50" s="436"/>
      <c r="AE50" s="436"/>
      <c r="AF50" s="436"/>
      <c r="AG50" s="436"/>
      <c r="AH50" s="436" t="str">
        <f t="shared" si="12"/>
        <v/>
      </c>
      <c r="AI50" s="436"/>
      <c r="AJ50" s="436"/>
      <c r="AK50" s="436"/>
      <c r="AL50" s="436"/>
      <c r="AM50" s="382" t="str">
        <f t="shared" si="13"/>
        <v/>
      </c>
      <c r="AN50" s="382"/>
      <c r="AO50" s="382"/>
      <c r="AP50" s="382"/>
      <c r="AQ50" s="38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224"/>
      <c r="CI50" s="320">
        <f t="shared" si="15"/>
        <v>0</v>
      </c>
      <c r="CK50" s="328" t="s">
        <v>699</v>
      </c>
      <c r="CL50" s="329" t="s">
        <v>109</v>
      </c>
      <c r="CM50" s="330">
        <v>2</v>
      </c>
      <c r="CN50" s="327"/>
      <c r="CO50" s="331" t="s">
        <v>699</v>
      </c>
      <c r="CP50" s="331" t="s">
        <v>109</v>
      </c>
      <c r="CQ50" s="331">
        <v>2</v>
      </c>
      <c r="CR50" s="134" t="str">
        <f>IF(AND(DH58&gt;0,OR(ISERROR(VLOOKUP(CS50,$D$11:$AC$23,1,FALSE)),IF(NOT(ISERROR(VLOOKUP(CS50,$D$11:$AC$23,22,FALSE))),IF(VLOOKUP(CS50,$D$11:$AC$23,22,FALSE)&gt;0,FALSE,TRUE)))),COUNT($C$11:CM49)+1,"")</f>
        <v/>
      </c>
      <c r="DA50" s="116"/>
      <c r="DB50" s="116"/>
    </row>
    <row r="51" spans="2:135" ht="14.25" customHeight="1" x14ac:dyDescent="0.2">
      <c r="B51" s="116">
        <f t="shared" si="14"/>
        <v>0</v>
      </c>
      <c r="C51" s="432" t="str">
        <f t="shared" si="10"/>
        <v/>
      </c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0"/>
      <c r="Y51" s="430"/>
      <c r="Z51" s="430"/>
      <c r="AA51" s="430"/>
      <c r="AB51" s="430"/>
      <c r="AC51" s="436" t="str">
        <f t="shared" si="11"/>
        <v/>
      </c>
      <c r="AD51" s="436"/>
      <c r="AE51" s="436"/>
      <c r="AF51" s="436"/>
      <c r="AG51" s="436"/>
      <c r="AH51" s="436" t="str">
        <f t="shared" si="12"/>
        <v/>
      </c>
      <c r="AI51" s="436"/>
      <c r="AJ51" s="436"/>
      <c r="AK51" s="436"/>
      <c r="AL51" s="436"/>
      <c r="AM51" s="382" t="str">
        <f t="shared" si="13"/>
        <v/>
      </c>
      <c r="AN51" s="382"/>
      <c r="AO51" s="382"/>
      <c r="AP51" s="382"/>
      <c r="AQ51" s="38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224"/>
      <c r="CI51" s="320">
        <f t="shared" si="15"/>
        <v>0</v>
      </c>
      <c r="CK51" s="328" t="s">
        <v>700</v>
      </c>
      <c r="CL51" s="329" t="s">
        <v>183</v>
      </c>
      <c r="CM51" s="330">
        <v>1</v>
      </c>
      <c r="CN51" s="327"/>
      <c r="CO51" s="331" t="s">
        <v>706</v>
      </c>
      <c r="CP51" s="331" t="s">
        <v>182</v>
      </c>
      <c r="CQ51" s="331">
        <v>2</v>
      </c>
      <c r="CR51" s="134" t="str">
        <f>IF(AND(DH59&gt;0,OR(ISERROR(VLOOKUP(CS51,$D$11:$AC$23,1,FALSE)),IF(NOT(ISERROR(VLOOKUP(CS51,$D$11:$AC$23,22,FALSE))),IF(VLOOKUP(CS51,$D$11:$AC$23,22,FALSE)&gt;0,FALSE,TRUE)))),COUNT($C$11:CM50)+1,"")</f>
        <v/>
      </c>
      <c r="DA51" s="116"/>
      <c r="DB51" s="116"/>
    </row>
    <row r="52" spans="2:135" ht="14.25" customHeight="1" x14ac:dyDescent="0.2">
      <c r="B52" s="116">
        <f t="shared" si="14"/>
        <v>0</v>
      </c>
      <c r="C52" s="432" t="str">
        <f t="shared" si="10"/>
        <v/>
      </c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0"/>
      <c r="Y52" s="430"/>
      <c r="Z52" s="430"/>
      <c r="AA52" s="430"/>
      <c r="AB52" s="430"/>
      <c r="AC52" s="436" t="str">
        <f t="shared" si="11"/>
        <v/>
      </c>
      <c r="AD52" s="436"/>
      <c r="AE52" s="436"/>
      <c r="AF52" s="436"/>
      <c r="AG52" s="436"/>
      <c r="AH52" s="436" t="str">
        <f t="shared" si="12"/>
        <v/>
      </c>
      <c r="AI52" s="436"/>
      <c r="AJ52" s="436"/>
      <c r="AK52" s="436"/>
      <c r="AL52" s="436"/>
      <c r="AM52" s="382" t="str">
        <f t="shared" si="13"/>
        <v/>
      </c>
      <c r="AN52" s="382"/>
      <c r="AO52" s="382"/>
      <c r="AP52" s="382"/>
      <c r="AQ52" s="38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224"/>
      <c r="CI52" s="320">
        <f t="shared" si="15"/>
        <v>0</v>
      </c>
      <c r="CK52" s="328" t="s">
        <v>701</v>
      </c>
      <c r="CL52" s="329" t="s">
        <v>119</v>
      </c>
      <c r="CM52" s="330">
        <v>1</v>
      </c>
      <c r="CN52" s="327"/>
      <c r="CO52" s="331" t="s">
        <v>708</v>
      </c>
      <c r="CP52" s="331" t="s">
        <v>182</v>
      </c>
      <c r="CQ52" s="331">
        <v>2</v>
      </c>
      <c r="CR52" s="136"/>
      <c r="CT52" s="342"/>
      <c r="CU52" s="138"/>
      <c r="DA52" s="116"/>
      <c r="DB52" s="116"/>
      <c r="DG52" s="326"/>
      <c r="DH52" s="326"/>
      <c r="DI52" s="326"/>
      <c r="EA52" s="117"/>
      <c r="EB52" s="117"/>
      <c r="EC52" s="117"/>
      <c r="ED52" s="117"/>
      <c r="EE52" s="117"/>
    </row>
    <row r="53" spans="2:135" ht="13.8" customHeight="1" x14ac:dyDescent="0.2">
      <c r="B53" s="116">
        <f t="shared" si="14"/>
        <v>0</v>
      </c>
      <c r="C53" s="432" t="str">
        <f t="shared" si="10"/>
        <v/>
      </c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0"/>
      <c r="Y53" s="430"/>
      <c r="Z53" s="430"/>
      <c r="AA53" s="430"/>
      <c r="AB53" s="430"/>
      <c r="AC53" s="436" t="str">
        <f t="shared" si="11"/>
        <v/>
      </c>
      <c r="AD53" s="436"/>
      <c r="AE53" s="436"/>
      <c r="AF53" s="436"/>
      <c r="AG53" s="436"/>
      <c r="AH53" s="436" t="str">
        <f t="shared" si="12"/>
        <v/>
      </c>
      <c r="AI53" s="436"/>
      <c r="AJ53" s="436"/>
      <c r="AK53" s="436"/>
      <c r="AL53" s="436"/>
      <c r="AM53" s="382" t="str">
        <f t="shared" si="13"/>
        <v/>
      </c>
      <c r="AN53" s="382"/>
      <c r="AO53" s="382"/>
      <c r="AP53" s="382"/>
      <c r="AQ53" s="38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224"/>
      <c r="CI53" s="320">
        <f t="shared" si="15"/>
        <v>0</v>
      </c>
      <c r="CK53" s="328" t="s">
        <v>702</v>
      </c>
      <c r="CL53" s="329" t="s">
        <v>119</v>
      </c>
      <c r="CM53" s="330">
        <v>2</v>
      </c>
      <c r="CN53" s="327"/>
      <c r="CO53" s="331" t="s">
        <v>713</v>
      </c>
      <c r="CP53" s="331" t="s">
        <v>182</v>
      </c>
      <c r="CQ53" s="331">
        <v>1</v>
      </c>
      <c r="CT53" s="342"/>
      <c r="CU53" s="138"/>
      <c r="DA53" s="116"/>
      <c r="DB53" s="116"/>
      <c r="DG53" s="327"/>
      <c r="DH53" s="327"/>
      <c r="DI53" s="327"/>
      <c r="EA53" s="117"/>
      <c r="EB53" s="117"/>
      <c r="EC53" s="117"/>
      <c r="ED53" s="117"/>
      <c r="EE53" s="117"/>
    </row>
    <row r="54" spans="2:135" ht="13.8" customHeight="1" x14ac:dyDescent="0.2">
      <c r="B54" s="116">
        <f t="shared" si="14"/>
        <v>0</v>
      </c>
      <c r="C54" s="432" t="str">
        <f t="shared" si="10"/>
        <v/>
      </c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0"/>
      <c r="Y54" s="430"/>
      <c r="Z54" s="430"/>
      <c r="AA54" s="430"/>
      <c r="AB54" s="430"/>
      <c r="AC54" s="436" t="str">
        <f t="shared" si="11"/>
        <v/>
      </c>
      <c r="AD54" s="436"/>
      <c r="AE54" s="436"/>
      <c r="AF54" s="436"/>
      <c r="AG54" s="436"/>
      <c r="AH54" s="436" t="str">
        <f t="shared" si="12"/>
        <v/>
      </c>
      <c r="AI54" s="436"/>
      <c r="AJ54" s="436"/>
      <c r="AK54" s="436"/>
      <c r="AL54" s="436"/>
      <c r="AM54" s="382" t="str">
        <f t="shared" si="13"/>
        <v/>
      </c>
      <c r="AN54" s="382"/>
      <c r="AO54" s="382"/>
      <c r="AP54" s="382"/>
      <c r="AQ54" s="386"/>
      <c r="CI54" s="320">
        <f t="shared" si="15"/>
        <v>0</v>
      </c>
      <c r="CK54" s="328" t="s">
        <v>703</v>
      </c>
      <c r="CL54" s="329" t="s">
        <v>110</v>
      </c>
      <c r="CM54" s="330">
        <v>1</v>
      </c>
      <c r="CN54" s="327"/>
      <c r="CO54" s="331" t="s">
        <v>714</v>
      </c>
      <c r="CP54" s="331" t="s">
        <v>400</v>
      </c>
      <c r="CQ54" s="331">
        <v>2</v>
      </c>
      <c r="CT54" s="342"/>
      <c r="CU54" s="138"/>
      <c r="DA54" s="116"/>
      <c r="DB54" s="116"/>
      <c r="DG54" s="327"/>
      <c r="DH54" s="327"/>
      <c r="DI54" s="327"/>
      <c r="EA54" s="117"/>
      <c r="EB54" s="117"/>
      <c r="EC54" s="117"/>
      <c r="ED54" s="117"/>
      <c r="EE54" s="117"/>
    </row>
    <row r="55" spans="2:135" ht="13.8" customHeight="1" x14ac:dyDescent="0.2">
      <c r="B55" s="116">
        <f t="shared" si="14"/>
        <v>0</v>
      </c>
      <c r="C55" s="432" t="str">
        <f t="shared" si="10"/>
        <v/>
      </c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0"/>
      <c r="Y55" s="430"/>
      <c r="Z55" s="430"/>
      <c r="AA55" s="430"/>
      <c r="AB55" s="430"/>
      <c r="AC55" s="436" t="str">
        <f t="shared" si="11"/>
        <v/>
      </c>
      <c r="AD55" s="436"/>
      <c r="AE55" s="436"/>
      <c r="AF55" s="436"/>
      <c r="AG55" s="436"/>
      <c r="AH55" s="436" t="str">
        <f t="shared" si="12"/>
        <v/>
      </c>
      <c r="AI55" s="436"/>
      <c r="AJ55" s="436"/>
      <c r="AK55" s="436"/>
      <c r="AL55" s="436"/>
      <c r="AM55" s="382" t="str">
        <f t="shared" si="13"/>
        <v/>
      </c>
      <c r="AN55" s="382"/>
      <c r="AO55" s="382"/>
      <c r="AP55" s="382"/>
      <c r="AQ55" s="386"/>
      <c r="CI55" s="320">
        <f t="shared" si="15"/>
        <v>0</v>
      </c>
      <c r="CK55" s="328" t="s">
        <v>704</v>
      </c>
      <c r="CL55" s="329" t="s">
        <v>109</v>
      </c>
      <c r="CM55" s="330">
        <v>2</v>
      </c>
      <c r="CN55" s="327"/>
      <c r="CO55" s="331" t="s">
        <v>716</v>
      </c>
      <c r="CP55" s="331" t="s">
        <v>716</v>
      </c>
      <c r="CQ55" s="331" t="s">
        <v>716</v>
      </c>
      <c r="CT55" s="342"/>
      <c r="CU55" s="138"/>
      <c r="DA55" s="348"/>
      <c r="DB55" s="76"/>
      <c r="DC55" s="76"/>
      <c r="DD55" s="76"/>
      <c r="DE55" s="76"/>
      <c r="DG55" s="327"/>
      <c r="DH55" s="327"/>
      <c r="DI55" s="327"/>
      <c r="EA55" s="117"/>
      <c r="EB55" s="117"/>
      <c r="EC55" s="117"/>
      <c r="ED55" s="117"/>
      <c r="EE55" s="117"/>
    </row>
    <row r="56" spans="2:135" ht="13.8" customHeight="1" x14ac:dyDescent="0.2">
      <c r="B56" s="116">
        <f t="shared" si="14"/>
        <v>0</v>
      </c>
      <c r="C56" s="432" t="str">
        <f t="shared" si="10"/>
        <v/>
      </c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0"/>
      <c r="Y56" s="430"/>
      <c r="Z56" s="430"/>
      <c r="AA56" s="430"/>
      <c r="AB56" s="430"/>
      <c r="AC56" s="436" t="str">
        <f t="shared" si="11"/>
        <v/>
      </c>
      <c r="AD56" s="436"/>
      <c r="AE56" s="436"/>
      <c r="AF56" s="436"/>
      <c r="AG56" s="436"/>
      <c r="AH56" s="436" t="str">
        <f t="shared" si="12"/>
        <v/>
      </c>
      <c r="AI56" s="436"/>
      <c r="AJ56" s="436"/>
      <c r="AK56" s="436"/>
      <c r="AL56" s="436"/>
      <c r="AM56" s="382" t="str">
        <f t="shared" si="13"/>
        <v/>
      </c>
      <c r="AN56" s="382"/>
      <c r="AO56" s="382"/>
      <c r="AP56" s="382"/>
      <c r="AQ56" s="386"/>
      <c r="CI56" s="320">
        <f t="shared" si="15"/>
        <v>0</v>
      </c>
      <c r="CK56" s="328" t="s">
        <v>705</v>
      </c>
      <c r="CL56" s="329" t="s">
        <v>119</v>
      </c>
      <c r="CM56" s="330">
        <v>2</v>
      </c>
      <c r="CN56" s="327"/>
      <c r="CO56" s="331" t="s">
        <v>716</v>
      </c>
      <c r="CP56" s="331" t="s">
        <v>716</v>
      </c>
      <c r="CQ56" s="331" t="s">
        <v>716</v>
      </c>
      <c r="CT56" s="342"/>
      <c r="CU56" s="138"/>
      <c r="DA56" s="91"/>
      <c r="DB56" s="79"/>
      <c r="DC56" s="79"/>
      <c r="DD56" s="79"/>
      <c r="DE56" s="79"/>
      <c r="DG56" s="327"/>
      <c r="DH56" s="327"/>
      <c r="DI56" s="327"/>
      <c r="EA56" s="117"/>
      <c r="EB56" s="117"/>
      <c r="EC56" s="117"/>
      <c r="ED56" s="117"/>
      <c r="EE56" s="117"/>
    </row>
    <row r="57" spans="2:135" ht="13.8" customHeight="1" x14ac:dyDescent="0.2">
      <c r="B57" s="116">
        <f t="shared" si="14"/>
        <v>0</v>
      </c>
      <c r="C57" s="432" t="str">
        <f t="shared" si="10"/>
        <v/>
      </c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0"/>
      <c r="Y57" s="430"/>
      <c r="Z57" s="430"/>
      <c r="AA57" s="430"/>
      <c r="AB57" s="430"/>
      <c r="AC57" s="436" t="str">
        <f t="shared" si="11"/>
        <v/>
      </c>
      <c r="AD57" s="436"/>
      <c r="AE57" s="436"/>
      <c r="AF57" s="436"/>
      <c r="AG57" s="436"/>
      <c r="AH57" s="436" t="str">
        <f t="shared" si="12"/>
        <v/>
      </c>
      <c r="AI57" s="436"/>
      <c r="AJ57" s="436"/>
      <c r="AK57" s="436"/>
      <c r="AL57" s="436"/>
      <c r="AM57" s="382" t="str">
        <f t="shared" si="13"/>
        <v/>
      </c>
      <c r="AN57" s="382"/>
      <c r="AO57" s="382"/>
      <c r="AP57" s="382"/>
      <c r="AQ57" s="386"/>
      <c r="CI57" s="320">
        <f t="shared" si="15"/>
        <v>0</v>
      </c>
      <c r="CK57" s="328" t="s">
        <v>706</v>
      </c>
      <c r="CL57" s="329" t="s">
        <v>182</v>
      </c>
      <c r="CM57" s="330">
        <v>2</v>
      </c>
      <c r="CN57" s="327"/>
      <c r="CO57" s="331" t="s">
        <v>716</v>
      </c>
      <c r="CP57" s="331" t="s">
        <v>716</v>
      </c>
      <c r="CQ57" s="331" t="s">
        <v>716</v>
      </c>
      <c r="CT57" s="342"/>
      <c r="CU57" s="138"/>
      <c r="DA57" s="91"/>
      <c r="DB57" s="79"/>
      <c r="DC57" s="79"/>
      <c r="DD57" s="79"/>
      <c r="DE57" s="79"/>
      <c r="DG57" s="327"/>
      <c r="DH57" s="327"/>
      <c r="DI57" s="327"/>
      <c r="EA57" s="117"/>
      <c r="EB57" s="117"/>
      <c r="EC57" s="117"/>
      <c r="ED57" s="117"/>
      <c r="EE57" s="117"/>
    </row>
    <row r="58" spans="2:135" ht="13.8" customHeight="1" x14ac:dyDescent="0.2">
      <c r="B58" s="116">
        <f t="shared" si="14"/>
        <v>0</v>
      </c>
      <c r="C58" s="432" t="str">
        <f t="shared" si="10"/>
        <v/>
      </c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0"/>
      <c r="Y58" s="430"/>
      <c r="Z58" s="430"/>
      <c r="AA58" s="430"/>
      <c r="AB58" s="430"/>
      <c r="AC58" s="436" t="str">
        <f t="shared" si="11"/>
        <v/>
      </c>
      <c r="AD58" s="436"/>
      <c r="AE58" s="436"/>
      <c r="AF58" s="436"/>
      <c r="AG58" s="436"/>
      <c r="AH58" s="436" t="str">
        <f t="shared" si="12"/>
        <v/>
      </c>
      <c r="AI58" s="436"/>
      <c r="AJ58" s="436"/>
      <c r="AK58" s="436"/>
      <c r="AL58" s="436"/>
      <c r="AM58" s="382" t="str">
        <f t="shared" si="13"/>
        <v/>
      </c>
      <c r="AN58" s="382"/>
      <c r="AO58" s="382"/>
      <c r="AP58" s="382"/>
      <c r="AQ58" s="386"/>
      <c r="CI58" s="320">
        <f t="shared" si="15"/>
        <v>0</v>
      </c>
      <c r="CK58" s="328" t="s">
        <v>707</v>
      </c>
      <c r="CL58" s="329" t="s">
        <v>110</v>
      </c>
      <c r="CM58" s="330">
        <v>1</v>
      </c>
      <c r="CN58" s="327"/>
      <c r="CO58" s="331" t="s">
        <v>716</v>
      </c>
      <c r="CP58" s="331" t="s">
        <v>716</v>
      </c>
      <c r="CQ58" s="331" t="s">
        <v>716</v>
      </c>
      <c r="CT58" s="342"/>
      <c r="CU58" s="138"/>
      <c r="DA58" s="91"/>
      <c r="DB58" s="79"/>
      <c r="DC58" s="79"/>
      <c r="DD58" s="79"/>
      <c r="DE58" s="79"/>
      <c r="DG58" s="327"/>
      <c r="DH58" s="327"/>
      <c r="DI58" s="327"/>
      <c r="EA58" s="117"/>
      <c r="EB58" s="117"/>
      <c r="EC58" s="117"/>
      <c r="ED58" s="117"/>
      <c r="EE58" s="117"/>
    </row>
    <row r="59" spans="2:135" ht="13.8" customHeight="1" x14ac:dyDescent="0.2">
      <c r="B59" s="116">
        <f t="shared" si="14"/>
        <v>0</v>
      </c>
      <c r="C59" s="432" t="str">
        <f t="shared" si="10"/>
        <v/>
      </c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0"/>
      <c r="Y59" s="430"/>
      <c r="Z59" s="430"/>
      <c r="AA59" s="430"/>
      <c r="AB59" s="430"/>
      <c r="AC59" s="436" t="str">
        <f t="shared" si="11"/>
        <v/>
      </c>
      <c r="AD59" s="436"/>
      <c r="AE59" s="436"/>
      <c r="AF59" s="436"/>
      <c r="AG59" s="436"/>
      <c r="AH59" s="436" t="str">
        <f t="shared" si="12"/>
        <v/>
      </c>
      <c r="AI59" s="436"/>
      <c r="AJ59" s="436"/>
      <c r="AK59" s="436"/>
      <c r="AL59" s="436"/>
      <c r="AM59" s="382" t="str">
        <f t="shared" si="13"/>
        <v/>
      </c>
      <c r="AN59" s="382"/>
      <c r="AO59" s="382"/>
      <c r="AP59" s="382"/>
      <c r="AQ59" s="386"/>
      <c r="CI59" s="320">
        <f t="shared" si="15"/>
        <v>0</v>
      </c>
      <c r="CK59" s="328" t="s">
        <v>708</v>
      </c>
      <c r="CL59" s="329" t="s">
        <v>182</v>
      </c>
      <c r="CM59" s="330">
        <v>2</v>
      </c>
      <c r="CN59" s="327"/>
      <c r="CO59" s="331" t="s">
        <v>716</v>
      </c>
      <c r="CP59" s="331" t="s">
        <v>716</v>
      </c>
      <c r="CQ59" s="331" t="s">
        <v>716</v>
      </c>
      <c r="CT59" s="342"/>
      <c r="CU59" s="138"/>
      <c r="CV59" s="116"/>
      <c r="CW59" s="116"/>
      <c r="CX59" s="116"/>
      <c r="CY59" s="116"/>
      <c r="CZ59" s="116"/>
      <c r="DA59" s="91"/>
      <c r="DB59" s="79"/>
      <c r="DC59" s="79"/>
      <c r="DD59" s="79"/>
      <c r="DE59" s="79"/>
      <c r="DG59" s="327"/>
      <c r="DH59" s="327"/>
      <c r="DI59" s="327"/>
      <c r="EA59" s="117"/>
      <c r="EB59" s="117"/>
      <c r="EC59" s="117"/>
      <c r="ED59" s="117"/>
      <c r="EE59" s="117"/>
    </row>
    <row r="60" spans="2:135" ht="13.8" customHeight="1" x14ac:dyDescent="0.2">
      <c r="B60" s="116">
        <f t="shared" si="14"/>
        <v>0</v>
      </c>
      <c r="C60" s="432" t="str">
        <f t="shared" si="10"/>
        <v/>
      </c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0"/>
      <c r="Y60" s="430"/>
      <c r="Z60" s="430"/>
      <c r="AA60" s="430"/>
      <c r="AB60" s="430"/>
      <c r="AC60" s="436" t="str">
        <f t="shared" si="11"/>
        <v/>
      </c>
      <c r="AD60" s="436"/>
      <c r="AE60" s="436"/>
      <c r="AF60" s="436"/>
      <c r="AG60" s="436"/>
      <c r="AH60" s="436" t="str">
        <f t="shared" si="12"/>
        <v/>
      </c>
      <c r="AI60" s="436"/>
      <c r="AJ60" s="436"/>
      <c r="AK60" s="436"/>
      <c r="AL60" s="436"/>
      <c r="AM60" s="382" t="str">
        <f t="shared" si="13"/>
        <v/>
      </c>
      <c r="AN60" s="382"/>
      <c r="AO60" s="382"/>
      <c r="AP60" s="382"/>
      <c r="AQ60" s="386"/>
      <c r="CI60" s="320">
        <f t="shared" si="15"/>
        <v>0</v>
      </c>
      <c r="CK60" s="328" t="s">
        <v>709</v>
      </c>
      <c r="CL60" s="329" t="s">
        <v>183</v>
      </c>
      <c r="CM60" s="330">
        <v>2</v>
      </c>
      <c r="CN60" s="327"/>
      <c r="CO60" s="331" t="s">
        <v>716</v>
      </c>
      <c r="CP60" s="331" t="s">
        <v>716</v>
      </c>
      <c r="CQ60" s="331" t="s">
        <v>716</v>
      </c>
      <c r="CT60" s="342"/>
      <c r="CU60" s="138"/>
      <c r="CV60" s="116"/>
      <c r="CW60" s="116"/>
      <c r="CX60" s="116"/>
      <c r="CY60" s="116"/>
      <c r="CZ60" s="116"/>
      <c r="DA60" s="91"/>
      <c r="DB60" s="79"/>
      <c r="DC60" s="79"/>
      <c r="DD60" s="79"/>
      <c r="DE60" s="79"/>
      <c r="DG60" s="327"/>
      <c r="DH60" s="327"/>
      <c r="DI60" s="327"/>
      <c r="EA60" s="117"/>
      <c r="EB60" s="117"/>
      <c r="EC60" s="117"/>
      <c r="ED60" s="117"/>
      <c r="EE60" s="117"/>
    </row>
    <row r="61" spans="2:135" ht="13.5" customHeight="1" x14ac:dyDescent="0.2">
      <c r="B61" s="116">
        <f t="shared" si="14"/>
        <v>0</v>
      </c>
      <c r="C61" s="432" t="str">
        <f t="shared" si="10"/>
        <v/>
      </c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0"/>
      <c r="Y61" s="430"/>
      <c r="Z61" s="430"/>
      <c r="AA61" s="430"/>
      <c r="AB61" s="430"/>
      <c r="AC61" s="436" t="str">
        <f t="shared" si="11"/>
        <v/>
      </c>
      <c r="AD61" s="436"/>
      <c r="AE61" s="436"/>
      <c r="AF61" s="436"/>
      <c r="AG61" s="436"/>
      <c r="AH61" s="436" t="str">
        <f t="shared" si="12"/>
        <v/>
      </c>
      <c r="AI61" s="436"/>
      <c r="AJ61" s="436"/>
      <c r="AK61" s="436"/>
      <c r="AL61" s="436"/>
      <c r="AM61" s="382" t="str">
        <f t="shared" si="13"/>
        <v/>
      </c>
      <c r="AN61" s="382"/>
      <c r="AO61" s="382"/>
      <c r="AP61" s="382"/>
      <c r="AQ61" s="386"/>
      <c r="CI61" s="320">
        <f t="shared" si="15"/>
        <v>0</v>
      </c>
      <c r="CK61" s="328" t="s">
        <v>710</v>
      </c>
      <c r="CL61" s="329" t="s">
        <v>110</v>
      </c>
      <c r="CM61" s="330">
        <v>2</v>
      </c>
      <c r="CN61" s="327"/>
      <c r="CO61" s="331" t="s">
        <v>716</v>
      </c>
      <c r="CP61" s="331" t="s">
        <v>716</v>
      </c>
      <c r="CQ61" s="331" t="s">
        <v>716</v>
      </c>
      <c r="CT61" s="342"/>
      <c r="CU61" s="138"/>
      <c r="CV61" s="116"/>
      <c r="CW61" s="116"/>
      <c r="CX61" s="116"/>
      <c r="CY61" s="116"/>
      <c r="CZ61" s="116"/>
      <c r="DA61" s="91"/>
      <c r="DB61" s="79"/>
      <c r="DC61" s="79"/>
      <c r="DD61" s="79"/>
      <c r="DE61" s="79"/>
      <c r="DG61" s="327"/>
      <c r="DH61" s="327"/>
      <c r="DI61" s="327"/>
      <c r="EA61" s="117"/>
      <c r="EB61" s="117"/>
      <c r="EC61" s="117"/>
      <c r="ED61" s="117"/>
      <c r="EE61" s="117"/>
    </row>
    <row r="62" spans="2:135" ht="13.5" customHeight="1" x14ac:dyDescent="0.2">
      <c r="B62" s="116">
        <f t="shared" si="14"/>
        <v>0</v>
      </c>
      <c r="C62" s="432" t="str">
        <f t="shared" si="10"/>
        <v/>
      </c>
      <c r="D62" s="433"/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33"/>
      <c r="V62" s="433"/>
      <c r="W62" s="433"/>
      <c r="X62" s="430"/>
      <c r="Y62" s="430"/>
      <c r="Z62" s="430"/>
      <c r="AA62" s="430"/>
      <c r="AB62" s="430"/>
      <c r="AC62" s="436" t="str">
        <f t="shared" si="11"/>
        <v/>
      </c>
      <c r="AD62" s="436"/>
      <c r="AE62" s="436"/>
      <c r="AF62" s="436"/>
      <c r="AG62" s="436"/>
      <c r="AH62" s="436" t="str">
        <f t="shared" si="12"/>
        <v/>
      </c>
      <c r="AI62" s="436"/>
      <c r="AJ62" s="436"/>
      <c r="AK62" s="436"/>
      <c r="AL62" s="436"/>
      <c r="AM62" s="382" t="str">
        <f t="shared" si="13"/>
        <v/>
      </c>
      <c r="AN62" s="382"/>
      <c r="AO62" s="382"/>
      <c r="AP62" s="382"/>
      <c r="AQ62" s="386"/>
      <c r="CI62" s="320">
        <f t="shared" si="15"/>
        <v>0</v>
      </c>
      <c r="CK62" s="328" t="s">
        <v>711</v>
      </c>
      <c r="CL62" s="329" t="s">
        <v>109</v>
      </c>
      <c r="CM62" s="330">
        <v>1</v>
      </c>
      <c r="CN62" s="327"/>
      <c r="CO62" s="331" t="s">
        <v>716</v>
      </c>
      <c r="CP62" s="331" t="s">
        <v>716</v>
      </c>
      <c r="CQ62" s="331" t="s">
        <v>716</v>
      </c>
      <c r="CT62" s="342"/>
      <c r="CU62" s="138"/>
      <c r="CV62" s="116"/>
      <c r="CW62" s="116"/>
      <c r="CX62" s="116"/>
      <c r="CY62" s="116"/>
      <c r="CZ62" s="116"/>
      <c r="DA62" s="91"/>
      <c r="DB62" s="79"/>
      <c r="DC62" s="79"/>
      <c r="DD62" s="79"/>
      <c r="DG62" s="327"/>
      <c r="DH62" s="327"/>
      <c r="DI62" s="327"/>
      <c r="EA62" s="117"/>
      <c r="EB62" s="117"/>
      <c r="EC62" s="117"/>
      <c r="ED62" s="117"/>
      <c r="EE62" s="117"/>
    </row>
    <row r="63" spans="2:135" ht="13.5" customHeight="1" x14ac:dyDescent="0.2">
      <c r="B63" s="116">
        <f t="shared" si="14"/>
        <v>0</v>
      </c>
      <c r="C63" s="432" t="str">
        <f t="shared" si="10"/>
        <v/>
      </c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0"/>
      <c r="Y63" s="430"/>
      <c r="Z63" s="430"/>
      <c r="AA63" s="430"/>
      <c r="AB63" s="430"/>
      <c r="AC63" s="436" t="str">
        <f t="shared" si="11"/>
        <v/>
      </c>
      <c r="AD63" s="436"/>
      <c r="AE63" s="436"/>
      <c r="AF63" s="436"/>
      <c r="AG63" s="436"/>
      <c r="AH63" s="436" t="str">
        <f t="shared" si="12"/>
        <v/>
      </c>
      <c r="AI63" s="436"/>
      <c r="AJ63" s="436"/>
      <c r="AK63" s="436"/>
      <c r="AL63" s="436"/>
      <c r="AM63" s="382" t="str">
        <f t="shared" si="13"/>
        <v/>
      </c>
      <c r="AN63" s="382"/>
      <c r="AO63" s="382"/>
      <c r="AP63" s="382"/>
      <c r="AQ63" s="386"/>
      <c r="CI63" s="320">
        <f t="shared" si="15"/>
        <v>0</v>
      </c>
      <c r="CK63" s="328" t="s">
        <v>712</v>
      </c>
      <c r="CL63" s="329" t="s">
        <v>183</v>
      </c>
      <c r="CM63" s="330">
        <v>1</v>
      </c>
      <c r="CN63" s="327"/>
      <c r="CO63" s="331" t="s">
        <v>716</v>
      </c>
      <c r="CP63" s="331" t="s">
        <v>716</v>
      </c>
      <c r="CQ63" s="331" t="s">
        <v>716</v>
      </c>
      <c r="CT63" s="342"/>
      <c r="CU63" s="138"/>
      <c r="CV63" s="116"/>
      <c r="CW63" s="116"/>
      <c r="CX63" s="116"/>
      <c r="CY63" s="116"/>
      <c r="CZ63" s="116"/>
      <c r="DA63" s="91"/>
      <c r="DB63" s="79"/>
      <c r="DC63" s="79"/>
      <c r="DD63" s="79"/>
      <c r="DG63" s="327"/>
      <c r="DH63" s="327"/>
      <c r="DI63" s="327"/>
      <c r="EA63" s="117"/>
      <c r="EB63" s="117"/>
      <c r="EC63" s="117"/>
      <c r="ED63" s="117"/>
      <c r="EE63" s="117"/>
    </row>
    <row r="64" spans="2:135" ht="13.5" customHeight="1" x14ac:dyDescent="0.2">
      <c r="B64" s="116">
        <f t="shared" si="14"/>
        <v>0</v>
      </c>
      <c r="C64" s="432" t="str">
        <f t="shared" si="10"/>
        <v/>
      </c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3"/>
      <c r="S64" s="433"/>
      <c r="T64" s="433"/>
      <c r="U64" s="433"/>
      <c r="V64" s="433"/>
      <c r="W64" s="433"/>
      <c r="X64" s="430"/>
      <c r="Y64" s="430"/>
      <c r="Z64" s="430"/>
      <c r="AA64" s="430"/>
      <c r="AB64" s="430"/>
      <c r="AC64" s="436" t="str">
        <f t="shared" si="11"/>
        <v/>
      </c>
      <c r="AD64" s="436"/>
      <c r="AE64" s="436"/>
      <c r="AF64" s="436"/>
      <c r="AG64" s="436"/>
      <c r="AH64" s="436" t="str">
        <f t="shared" si="12"/>
        <v/>
      </c>
      <c r="AI64" s="436"/>
      <c r="AJ64" s="436"/>
      <c r="AK64" s="436"/>
      <c r="AL64" s="436"/>
      <c r="AM64" s="382" t="str">
        <f t="shared" si="13"/>
        <v/>
      </c>
      <c r="AN64" s="382"/>
      <c r="AO64" s="382"/>
      <c r="AP64" s="382"/>
      <c r="AQ64" s="386"/>
      <c r="CI64" s="320">
        <f t="shared" si="15"/>
        <v>0</v>
      </c>
      <c r="CK64" s="328" t="s">
        <v>713</v>
      </c>
      <c r="CL64" s="329" t="s">
        <v>182</v>
      </c>
      <c r="CM64" s="330">
        <v>1</v>
      </c>
      <c r="CN64" s="327"/>
      <c r="CO64" s="331" t="s">
        <v>716</v>
      </c>
      <c r="CP64" s="331" t="s">
        <v>716</v>
      </c>
      <c r="CQ64" s="331" t="s">
        <v>716</v>
      </c>
      <c r="CT64" s="342"/>
      <c r="CU64" s="138"/>
      <c r="CV64" s="116"/>
      <c r="CW64" s="116"/>
      <c r="CX64" s="116"/>
      <c r="CY64" s="116"/>
      <c r="CZ64" s="116"/>
      <c r="DA64" s="91"/>
      <c r="DB64" s="79"/>
      <c r="DC64" s="79"/>
      <c r="DD64" s="79"/>
      <c r="EA64" s="117"/>
      <c r="EB64" s="117"/>
      <c r="EC64" s="117"/>
      <c r="ED64" s="117"/>
      <c r="EE64" s="117"/>
    </row>
    <row r="65" spans="2:143" ht="13.5" customHeight="1" x14ac:dyDescent="0.2">
      <c r="B65" s="116">
        <f t="shared" si="14"/>
        <v>0</v>
      </c>
      <c r="C65" s="432" t="str">
        <f t="shared" si="10"/>
        <v/>
      </c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0"/>
      <c r="Y65" s="430"/>
      <c r="Z65" s="430"/>
      <c r="AA65" s="430"/>
      <c r="AB65" s="430"/>
      <c r="AC65" s="436" t="str">
        <f t="shared" si="11"/>
        <v/>
      </c>
      <c r="AD65" s="436"/>
      <c r="AE65" s="436"/>
      <c r="AF65" s="436"/>
      <c r="AG65" s="436"/>
      <c r="AH65" s="436" t="str">
        <f t="shared" si="12"/>
        <v/>
      </c>
      <c r="AI65" s="436"/>
      <c r="AJ65" s="436"/>
      <c r="AK65" s="436"/>
      <c r="AL65" s="436"/>
      <c r="AM65" s="382" t="str">
        <f t="shared" si="13"/>
        <v/>
      </c>
      <c r="AN65" s="382"/>
      <c r="AO65" s="382"/>
      <c r="AP65" s="382"/>
      <c r="AQ65" s="386"/>
      <c r="CI65" s="320">
        <f t="shared" si="15"/>
        <v>0</v>
      </c>
      <c r="CK65" s="328" t="s">
        <v>714</v>
      </c>
      <c r="CL65" s="329" t="s">
        <v>400</v>
      </c>
      <c r="CM65" s="330">
        <v>2</v>
      </c>
      <c r="CN65" s="327"/>
      <c r="CO65" s="331" t="s">
        <v>716</v>
      </c>
      <c r="CP65" s="331" t="s">
        <v>716</v>
      </c>
      <c r="CQ65" s="331" t="s">
        <v>716</v>
      </c>
      <c r="CT65" s="342"/>
      <c r="CU65" s="138"/>
      <c r="CV65" s="116"/>
      <c r="CW65" s="116"/>
      <c r="CX65" s="116"/>
      <c r="CY65" s="116"/>
      <c r="CZ65" s="116"/>
      <c r="DA65" s="91"/>
      <c r="DB65" s="79"/>
      <c r="DC65" s="79"/>
      <c r="DD65" s="79"/>
      <c r="EA65" s="117"/>
      <c r="EB65" s="117"/>
      <c r="EC65" s="117"/>
      <c r="ED65" s="117"/>
      <c r="EE65" s="117"/>
    </row>
    <row r="66" spans="2:143" ht="13.5" customHeight="1" x14ac:dyDescent="0.2">
      <c r="B66" s="116">
        <f t="shared" si="14"/>
        <v>0</v>
      </c>
      <c r="C66" s="432" t="str">
        <f t="shared" si="10"/>
        <v/>
      </c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3"/>
      <c r="V66" s="433"/>
      <c r="W66" s="433"/>
      <c r="X66" s="430"/>
      <c r="Y66" s="430"/>
      <c r="Z66" s="430"/>
      <c r="AA66" s="430"/>
      <c r="AB66" s="430"/>
      <c r="AC66" s="436" t="str">
        <f t="shared" si="11"/>
        <v/>
      </c>
      <c r="AD66" s="436"/>
      <c r="AE66" s="436"/>
      <c r="AF66" s="436"/>
      <c r="AG66" s="436"/>
      <c r="AH66" s="436" t="str">
        <f t="shared" si="12"/>
        <v/>
      </c>
      <c r="AI66" s="436"/>
      <c r="AJ66" s="436"/>
      <c r="AK66" s="436"/>
      <c r="AL66" s="436"/>
      <c r="AM66" s="382" t="str">
        <f t="shared" si="13"/>
        <v/>
      </c>
      <c r="AN66" s="382"/>
      <c r="AO66" s="382"/>
      <c r="AP66" s="382"/>
      <c r="AQ66" s="386"/>
      <c r="CI66" s="320">
        <f t="shared" si="15"/>
        <v>0</v>
      </c>
      <c r="CK66" s="328" t="s">
        <v>715</v>
      </c>
      <c r="CL66" s="329" t="s">
        <v>110</v>
      </c>
      <c r="CM66" s="330">
        <v>1</v>
      </c>
      <c r="CN66" s="327"/>
      <c r="CO66" s="331" t="s">
        <v>716</v>
      </c>
      <c r="CP66" s="331" t="s">
        <v>716</v>
      </c>
      <c r="CQ66" s="331" t="s">
        <v>716</v>
      </c>
      <c r="CT66" s="342"/>
      <c r="CU66" s="138"/>
      <c r="CV66" s="116"/>
      <c r="CW66" s="116"/>
      <c r="CX66" s="116"/>
      <c r="CY66" s="116"/>
      <c r="CZ66" s="116"/>
      <c r="EA66" s="117"/>
      <c r="EB66" s="117"/>
      <c r="EC66" s="117"/>
      <c r="ED66" s="117"/>
      <c r="EE66" s="117"/>
    </row>
    <row r="67" spans="2:143" ht="13.5" customHeight="1" thickBot="1" x14ac:dyDescent="0.25">
      <c r="B67" s="116">
        <f t="shared" si="14"/>
        <v>0</v>
      </c>
      <c r="C67" s="434" t="str">
        <f t="shared" si="10"/>
        <v/>
      </c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435"/>
      <c r="Q67" s="435"/>
      <c r="R67" s="435"/>
      <c r="S67" s="435"/>
      <c r="T67" s="435"/>
      <c r="U67" s="435"/>
      <c r="V67" s="435"/>
      <c r="W67" s="435"/>
      <c r="X67" s="431"/>
      <c r="Y67" s="431"/>
      <c r="Z67" s="431"/>
      <c r="AA67" s="431"/>
      <c r="AB67" s="431"/>
      <c r="AC67" s="437" t="str">
        <f t="shared" si="11"/>
        <v/>
      </c>
      <c r="AD67" s="437"/>
      <c r="AE67" s="437"/>
      <c r="AF67" s="437"/>
      <c r="AG67" s="437"/>
      <c r="AH67" s="437" t="str">
        <f t="shared" si="12"/>
        <v/>
      </c>
      <c r="AI67" s="437"/>
      <c r="AJ67" s="437"/>
      <c r="AK67" s="437"/>
      <c r="AL67" s="437"/>
      <c r="AM67" s="426" t="str">
        <f t="shared" si="13"/>
        <v/>
      </c>
      <c r="AN67" s="426"/>
      <c r="AO67" s="426"/>
      <c r="AP67" s="426"/>
      <c r="AQ67" s="427"/>
      <c r="CI67" s="320">
        <f t="shared" si="15"/>
        <v>0</v>
      </c>
      <c r="CK67" s="332" t="s">
        <v>716</v>
      </c>
      <c r="CL67" s="332" t="s">
        <v>716</v>
      </c>
      <c r="CM67" s="332" t="s">
        <v>716</v>
      </c>
      <c r="CN67" s="327"/>
      <c r="CO67" s="331" t="s">
        <v>716</v>
      </c>
      <c r="CP67" s="331" t="s">
        <v>716</v>
      </c>
      <c r="CQ67" s="331" t="s">
        <v>716</v>
      </c>
      <c r="CT67" s="342"/>
      <c r="CU67" s="138"/>
      <c r="CV67" s="116"/>
      <c r="CW67" s="116"/>
      <c r="CX67" s="116"/>
      <c r="CY67" s="116"/>
      <c r="CZ67" s="116"/>
      <c r="EA67" s="117"/>
      <c r="EB67" s="117"/>
      <c r="EC67" s="117"/>
      <c r="ED67" s="117"/>
      <c r="EE67" s="117"/>
    </row>
    <row r="68" spans="2:143" ht="13.5" customHeight="1" thickBot="1" x14ac:dyDescent="0.25">
      <c r="C68" s="135"/>
      <c r="D68" s="135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6"/>
      <c r="Y68" s="136"/>
      <c r="Z68" s="136"/>
      <c r="AA68" s="136"/>
      <c r="AB68" s="136">
        <f>COLUMN()</f>
        <v>28</v>
      </c>
      <c r="AC68" s="319"/>
      <c r="AD68" s="319"/>
      <c r="AE68" s="319"/>
      <c r="AF68" s="319"/>
      <c r="AG68" s="319"/>
      <c r="AH68" s="6"/>
      <c r="AI68" s="6"/>
      <c r="AJ68" s="6"/>
      <c r="AK68" s="6"/>
      <c r="AL68" s="6"/>
      <c r="AM68" s="319"/>
      <c r="AN68" s="319"/>
      <c r="AO68" s="319"/>
      <c r="AP68" s="319"/>
      <c r="AQ68" s="319"/>
      <c r="CI68" s="335"/>
      <c r="CT68" s="342"/>
      <c r="CU68" s="138"/>
      <c r="CV68" s="116"/>
      <c r="EA68" s="117"/>
      <c r="EB68" s="117"/>
      <c r="EC68" s="117"/>
      <c r="ED68" s="117"/>
      <c r="EE68" s="117"/>
    </row>
    <row r="69" spans="2:143" ht="13.5" customHeight="1" thickBot="1" x14ac:dyDescent="0.25">
      <c r="C69" s="504" t="s">
        <v>684</v>
      </c>
      <c r="D69" s="505"/>
      <c r="E69" s="505"/>
      <c r="F69" s="505"/>
      <c r="G69" s="505"/>
      <c r="H69" s="505"/>
      <c r="I69" s="505"/>
      <c r="J69" s="505"/>
      <c r="K69" s="505"/>
      <c r="L69" s="505"/>
      <c r="M69" s="505"/>
      <c r="N69" s="505"/>
      <c r="O69" s="505"/>
      <c r="P69" s="505"/>
      <c r="Q69" s="505"/>
      <c r="R69" s="505"/>
      <c r="S69" s="505"/>
      <c r="T69" s="505"/>
      <c r="U69" s="505"/>
      <c r="V69" s="505"/>
      <c r="W69" s="506"/>
      <c r="X69" s="438" t="s">
        <v>19</v>
      </c>
      <c r="Y69" s="439"/>
      <c r="Z69" s="439"/>
      <c r="AA69" s="439"/>
      <c r="AB69" s="440"/>
      <c r="AC69" s="438" t="s">
        <v>114</v>
      </c>
      <c r="AD69" s="439"/>
      <c r="AE69" s="439"/>
      <c r="AF69" s="439"/>
      <c r="AG69" s="440"/>
      <c r="AH69" s="438" t="s">
        <v>35</v>
      </c>
      <c r="AI69" s="439"/>
      <c r="AJ69" s="439"/>
      <c r="AK69" s="439"/>
      <c r="AL69" s="440"/>
      <c r="AM69" s="438" t="s">
        <v>17</v>
      </c>
      <c r="AN69" s="439"/>
      <c r="AO69" s="439"/>
      <c r="AP69" s="439"/>
      <c r="AQ69" s="494"/>
      <c r="CI69" s="335"/>
      <c r="CK69" s="345">
        <f>Especialização</f>
        <v>0</v>
      </c>
      <c r="CL69" s="346" t="str">
        <f>CK69&amp;"custo"</f>
        <v>0custo</v>
      </c>
      <c r="CM69" s="347" t="str">
        <f>CK69&amp;"dif"</f>
        <v>0dif</v>
      </c>
      <c r="CN69" s="344" t="s">
        <v>726</v>
      </c>
      <c r="CO69" s="117"/>
      <c r="CP69" s="117"/>
      <c r="CQ69" s="344" t="s">
        <v>175</v>
      </c>
      <c r="CR69" s="344" t="str">
        <f>CQ69&amp;"custo"</f>
        <v>(Academia de Infantaria)custo</v>
      </c>
      <c r="CS69" s="344" t="str">
        <f>CQ69&amp;"dif"</f>
        <v>(Academia de Infantaria)dif</v>
      </c>
      <c r="CT69" s="117"/>
      <c r="CU69" s="344" t="s">
        <v>178</v>
      </c>
      <c r="CV69" s="344" t="str">
        <f>CU69&amp;"custo"</f>
        <v>(Academia dos Arqueiro)custo</v>
      </c>
      <c r="CW69" s="344" t="str">
        <f>CU69&amp;"dif"</f>
        <v>(Academia dos Arqueiro)dif</v>
      </c>
      <c r="CY69" s="344" t="s">
        <v>176</v>
      </c>
      <c r="CZ69" s="344" t="str">
        <f>CY69&amp;"custo"</f>
        <v>(Academia dos Cavaleiros)custo</v>
      </c>
      <c r="DA69" s="344" t="str">
        <f>CY69&amp;"dif"</f>
        <v>(Academia dos Cavaleiros)dif</v>
      </c>
      <c r="DC69" s="344" t="s">
        <v>177</v>
      </c>
      <c r="DD69" s="344" t="str">
        <f>DC69&amp;"custo"</f>
        <v>(Academia dos Gladiadores)custo</v>
      </c>
      <c r="DE69" s="344" t="str">
        <f>DC69&amp;"dif"</f>
        <v>(Academia dos Gladiadores)dif</v>
      </c>
      <c r="DG69" s="344" t="s">
        <v>180</v>
      </c>
      <c r="DH69" s="344" t="str">
        <f>DG69&amp;"custo"</f>
        <v>(Guilda dos Assassinos)custo</v>
      </c>
      <c r="DI69" s="344" t="str">
        <f>DG69&amp;"dif"</f>
        <v>(Guilda dos Assassinos)dif</v>
      </c>
      <c r="DK69" s="344" t="s">
        <v>179</v>
      </c>
      <c r="DL69" s="344" t="str">
        <f>DK69&amp;"custo"</f>
        <v>(Guilda dos Ladrões)custo</v>
      </c>
      <c r="DM69" s="344" t="str">
        <f>DK69&amp;"dif"</f>
        <v>(Guilda dos Ladrões)dif</v>
      </c>
      <c r="DO69" s="344" t="s">
        <v>181</v>
      </c>
      <c r="DP69" s="344" t="str">
        <f>DO69&amp;"custo"</f>
        <v>(Guilda dos Piratas)custo</v>
      </c>
      <c r="DQ69" s="344" t="str">
        <f>DO69&amp;"dif"</f>
        <v>(Guilda dos Piratas)dif</v>
      </c>
      <c r="DS69" s="117" t="s">
        <v>401</v>
      </c>
      <c r="DT69" s="135" t="str">
        <f>DS69&amp;"custo"</f>
        <v>Sem Especializaçãocusto</v>
      </c>
      <c r="DU69" s="135" t="str">
        <f>DS69&amp;"dif"</f>
        <v>Sem Especializaçãodif</v>
      </c>
      <c r="EK69" s="117"/>
      <c r="EL69" s="117"/>
      <c r="EM69" s="117"/>
    </row>
    <row r="70" spans="2:143" ht="13.5" customHeight="1" x14ac:dyDescent="0.2">
      <c r="B70" s="116">
        <f>IF(X70&lt;&gt;"",B67+1,B67)</f>
        <v>0</v>
      </c>
      <c r="C70" s="492" t="e">
        <f t="shared" ref="C70:C81" si="16">CK70</f>
        <v>#N/A</v>
      </c>
      <c r="D70" s="493"/>
      <c r="E70" s="493"/>
      <c r="F70" s="493"/>
      <c r="G70" s="493"/>
      <c r="H70" s="493"/>
      <c r="I70" s="493"/>
      <c r="J70" s="493"/>
      <c r="K70" s="493"/>
      <c r="L70" s="493"/>
      <c r="M70" s="493"/>
      <c r="N70" s="493"/>
      <c r="O70" s="493"/>
      <c r="P70" s="493"/>
      <c r="Q70" s="493"/>
      <c r="R70" s="493"/>
      <c r="S70" s="493"/>
      <c r="T70" s="493"/>
      <c r="U70" s="493"/>
      <c r="V70" s="493"/>
      <c r="W70" s="493"/>
      <c r="X70" s="491"/>
      <c r="Y70" s="491"/>
      <c r="Z70" s="491"/>
      <c r="AA70" s="491"/>
      <c r="AB70" s="491"/>
      <c r="AC70" s="387" t="e">
        <f t="shared" ref="AC70:AC81" si="17">IF(C70&lt;&gt;"",CL70,"")</f>
        <v>#N/A</v>
      </c>
      <c r="AD70" s="387"/>
      <c r="AE70" s="387"/>
      <c r="AF70" s="387"/>
      <c r="AG70" s="387"/>
      <c r="AH70" s="387" t="e">
        <f t="shared" ref="AH70:AH81" si="18">CM70</f>
        <v>#N/A</v>
      </c>
      <c r="AI70" s="387"/>
      <c r="AJ70" s="387"/>
      <c r="AK70" s="387"/>
      <c r="AL70" s="387"/>
      <c r="AM70" s="387" t="str">
        <f t="shared" ref="AM70:AM81" si="19">IF(X70&gt;0,VLOOKUP(AH70,$CI$23:$CJ$30,2,FALSE)+X70,"")</f>
        <v/>
      </c>
      <c r="AN70" s="387"/>
      <c r="AO70" s="387"/>
      <c r="AP70" s="387"/>
      <c r="AQ70" s="405"/>
      <c r="CI70" s="320">
        <f t="shared" ref="CI70:CI81" si="20">IF(X70&lt;&gt;"",AC70*X70,0)</f>
        <v>0</v>
      </c>
      <c r="CK70" s="5" t="e">
        <f t="shared" ref="CK70:CK81" si="21">IF(HLOOKUP($CK$69,$CQ$69:$DV$81,CN70,FALSE)&lt;&gt;"",HLOOKUP($CK$69,$CQ$69:$DV$81,CN70,FALSE),"")</f>
        <v>#N/A</v>
      </c>
      <c r="CL70" s="200" t="e">
        <f t="shared" ref="CL70:CL81" si="22">HLOOKUP($CL$69,$CQ$69:$DV$81,CN70,FALSE)</f>
        <v>#N/A</v>
      </c>
      <c r="CM70" s="324" t="e">
        <f t="shared" ref="CM70:CM81" si="23">HLOOKUP($CM$69,$CQ$69:$DV$81,CN70,FALSE)</f>
        <v>#N/A</v>
      </c>
      <c r="CN70" s="344">
        <v>2</v>
      </c>
      <c r="CO70" s="117"/>
      <c r="CP70" s="117"/>
      <c r="CQ70" s="343" t="s">
        <v>685</v>
      </c>
      <c r="CR70" s="343">
        <v>1</v>
      </c>
      <c r="CS70" s="343" t="s">
        <v>119</v>
      </c>
      <c r="CT70" s="117"/>
      <c r="CU70" s="343" t="s">
        <v>718</v>
      </c>
      <c r="CV70" s="343">
        <v>2</v>
      </c>
      <c r="CW70" s="343" t="s">
        <v>110</v>
      </c>
      <c r="CY70" s="343" t="s">
        <v>741</v>
      </c>
      <c r="CZ70" s="343">
        <v>1</v>
      </c>
      <c r="DA70" s="343" t="s">
        <v>183</v>
      </c>
      <c r="DC70" s="343" t="s">
        <v>697</v>
      </c>
      <c r="DD70" s="343">
        <v>1</v>
      </c>
      <c r="DE70" s="343" t="s">
        <v>182</v>
      </c>
      <c r="DG70" s="343" t="s">
        <v>706</v>
      </c>
      <c r="DH70" s="343">
        <v>1</v>
      </c>
      <c r="DI70" s="343" t="s">
        <v>182</v>
      </c>
      <c r="DK70" s="343" t="s">
        <v>697</v>
      </c>
      <c r="DL70" s="343">
        <v>1</v>
      </c>
      <c r="DM70" s="343" t="s">
        <v>182</v>
      </c>
      <c r="DO70" s="343" t="s">
        <v>704</v>
      </c>
      <c r="DP70" s="343">
        <v>1</v>
      </c>
      <c r="DQ70" s="343" t="s">
        <v>109</v>
      </c>
      <c r="DS70" s="117" t="s">
        <v>401</v>
      </c>
      <c r="DU70" s="117" t="s">
        <v>182</v>
      </c>
      <c r="DV70" s="117" t="s">
        <v>182</v>
      </c>
      <c r="EK70" s="117"/>
      <c r="EL70" s="117"/>
      <c r="EM70" s="117"/>
    </row>
    <row r="71" spans="2:143" ht="13.5" customHeight="1" x14ac:dyDescent="0.2">
      <c r="B71" s="116">
        <f t="shared" ref="B71:B81" si="24">IF(X71&lt;&gt;"",B70+1,B70)</f>
        <v>0</v>
      </c>
      <c r="C71" s="432" t="e">
        <f t="shared" si="16"/>
        <v>#N/A</v>
      </c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  <c r="Q71" s="433"/>
      <c r="R71" s="433"/>
      <c r="S71" s="433"/>
      <c r="T71" s="433"/>
      <c r="U71" s="433"/>
      <c r="V71" s="433"/>
      <c r="W71" s="433"/>
      <c r="X71" s="430"/>
      <c r="Y71" s="430"/>
      <c r="Z71" s="430"/>
      <c r="AA71" s="430"/>
      <c r="AB71" s="430"/>
      <c r="AC71" s="387" t="e">
        <f t="shared" si="17"/>
        <v>#N/A</v>
      </c>
      <c r="AD71" s="387"/>
      <c r="AE71" s="387"/>
      <c r="AF71" s="387"/>
      <c r="AG71" s="387"/>
      <c r="AH71" s="382" t="e">
        <f t="shared" si="18"/>
        <v>#N/A</v>
      </c>
      <c r="AI71" s="382"/>
      <c r="AJ71" s="382"/>
      <c r="AK71" s="382"/>
      <c r="AL71" s="382"/>
      <c r="AM71" s="382" t="str">
        <f t="shared" si="19"/>
        <v/>
      </c>
      <c r="AN71" s="382"/>
      <c r="AO71" s="382"/>
      <c r="AP71" s="382"/>
      <c r="AQ71" s="386"/>
      <c r="CI71" s="320">
        <f t="shared" si="20"/>
        <v>0</v>
      </c>
      <c r="CK71" s="5" t="e">
        <f t="shared" si="21"/>
        <v>#N/A</v>
      </c>
      <c r="CL71" s="200" t="e">
        <f t="shared" si="22"/>
        <v>#N/A</v>
      </c>
      <c r="CM71" s="324" t="e">
        <f t="shared" si="23"/>
        <v>#N/A</v>
      </c>
      <c r="CN71" s="344">
        <v>3</v>
      </c>
      <c r="CO71" s="117"/>
      <c r="CP71" s="117"/>
      <c r="CQ71" s="343" t="s">
        <v>705</v>
      </c>
      <c r="CR71" s="343">
        <v>1</v>
      </c>
      <c r="CS71" s="343" t="s">
        <v>119</v>
      </c>
      <c r="CT71" s="117"/>
      <c r="CU71" s="343" t="s">
        <v>699</v>
      </c>
      <c r="CV71" s="343">
        <v>1</v>
      </c>
      <c r="CW71" s="343" t="s">
        <v>109</v>
      </c>
      <c r="CY71" s="343" t="s">
        <v>742</v>
      </c>
      <c r="CZ71" s="343">
        <v>2</v>
      </c>
      <c r="DA71" s="343" t="s">
        <v>183</v>
      </c>
      <c r="DC71" s="343" t="s">
        <v>698</v>
      </c>
      <c r="DD71" s="343">
        <v>1</v>
      </c>
      <c r="DE71" s="343" t="s">
        <v>182</v>
      </c>
      <c r="DG71" s="343" t="s">
        <v>705</v>
      </c>
      <c r="DH71" s="343">
        <v>2</v>
      </c>
      <c r="DI71" s="343" t="s">
        <v>119</v>
      </c>
      <c r="DK71" s="343" t="s">
        <v>731</v>
      </c>
      <c r="DL71" s="343">
        <v>1</v>
      </c>
      <c r="DM71" s="343" t="s">
        <v>110</v>
      </c>
      <c r="DO71" s="343" t="s">
        <v>708</v>
      </c>
      <c r="DP71" s="343">
        <v>1</v>
      </c>
      <c r="DQ71" s="343" t="s">
        <v>182</v>
      </c>
      <c r="DS71" s="117" t="s">
        <v>401</v>
      </c>
      <c r="DU71" s="117" t="s">
        <v>182</v>
      </c>
      <c r="DV71" s="117" t="s">
        <v>182</v>
      </c>
      <c r="EK71" s="117"/>
      <c r="EL71" s="117"/>
      <c r="EM71" s="117"/>
    </row>
    <row r="72" spans="2:143" ht="14.25" customHeight="1" x14ac:dyDescent="0.2">
      <c r="B72" s="116">
        <f t="shared" si="24"/>
        <v>0</v>
      </c>
      <c r="C72" s="432" t="e">
        <f t="shared" si="16"/>
        <v>#N/A</v>
      </c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  <c r="S72" s="433"/>
      <c r="T72" s="433"/>
      <c r="U72" s="433"/>
      <c r="V72" s="433"/>
      <c r="W72" s="433"/>
      <c r="X72" s="430"/>
      <c r="Y72" s="430"/>
      <c r="Z72" s="430"/>
      <c r="AA72" s="430"/>
      <c r="AB72" s="430"/>
      <c r="AC72" s="387" t="e">
        <f t="shared" si="17"/>
        <v>#N/A</v>
      </c>
      <c r="AD72" s="387"/>
      <c r="AE72" s="387"/>
      <c r="AF72" s="387"/>
      <c r="AG72" s="387"/>
      <c r="AH72" s="382" t="e">
        <f t="shared" si="18"/>
        <v>#N/A</v>
      </c>
      <c r="AI72" s="382"/>
      <c r="AJ72" s="382"/>
      <c r="AK72" s="382"/>
      <c r="AL72" s="382"/>
      <c r="AM72" s="382" t="str">
        <f t="shared" si="19"/>
        <v/>
      </c>
      <c r="AN72" s="382"/>
      <c r="AO72" s="382"/>
      <c r="AP72" s="382"/>
      <c r="AQ72" s="386"/>
      <c r="CI72" s="320">
        <f t="shared" si="20"/>
        <v>0</v>
      </c>
      <c r="CK72" s="5" t="e">
        <f t="shared" si="21"/>
        <v>#N/A</v>
      </c>
      <c r="CL72" s="200" t="e">
        <f t="shared" si="22"/>
        <v>#N/A</v>
      </c>
      <c r="CM72" s="324" t="e">
        <f t="shared" si="23"/>
        <v>#N/A</v>
      </c>
      <c r="CN72" s="344">
        <v>4</v>
      </c>
      <c r="CQ72" s="343" t="s">
        <v>727</v>
      </c>
      <c r="CR72" s="343">
        <v>2</v>
      </c>
      <c r="CS72" s="343" t="s">
        <v>119</v>
      </c>
      <c r="CT72" s="117"/>
      <c r="CU72" s="343" t="s">
        <v>719</v>
      </c>
      <c r="CV72" s="343">
        <v>1</v>
      </c>
      <c r="CW72" s="343" t="s">
        <v>109</v>
      </c>
      <c r="CY72" s="343" t="s">
        <v>743</v>
      </c>
      <c r="CZ72" s="343">
        <v>2</v>
      </c>
      <c r="DA72" s="343" t="s">
        <v>110</v>
      </c>
      <c r="DC72" s="343" t="s">
        <v>734</v>
      </c>
      <c r="DD72" s="343">
        <v>2</v>
      </c>
      <c r="DE72" s="343" t="s">
        <v>119</v>
      </c>
      <c r="DG72" s="343" t="s">
        <v>693</v>
      </c>
      <c r="DH72" s="343">
        <v>1</v>
      </c>
      <c r="DI72" s="343" t="s">
        <v>110</v>
      </c>
      <c r="DK72" s="343" t="s">
        <v>747</v>
      </c>
      <c r="DL72" s="343">
        <v>2</v>
      </c>
      <c r="DM72" s="343" t="s">
        <v>110</v>
      </c>
      <c r="DO72" s="343" t="s">
        <v>738</v>
      </c>
      <c r="DP72" s="343">
        <v>2</v>
      </c>
      <c r="DQ72" s="343" t="s">
        <v>109</v>
      </c>
      <c r="DS72" s="117" t="s">
        <v>401</v>
      </c>
      <c r="DU72" s="117" t="s">
        <v>182</v>
      </c>
      <c r="DV72" s="117" t="s">
        <v>182</v>
      </c>
      <c r="EK72" s="117"/>
      <c r="EL72" s="117"/>
      <c r="EM72" s="117"/>
    </row>
    <row r="73" spans="2:143" ht="14.25" customHeight="1" x14ac:dyDescent="0.2">
      <c r="B73" s="116">
        <f t="shared" si="24"/>
        <v>0</v>
      </c>
      <c r="C73" s="432" t="e">
        <f t="shared" si="16"/>
        <v>#N/A</v>
      </c>
      <c r="D73" s="433"/>
      <c r="E73" s="433"/>
      <c r="F73" s="433"/>
      <c r="G73" s="433"/>
      <c r="H73" s="433"/>
      <c r="I73" s="433"/>
      <c r="J73" s="433"/>
      <c r="K73" s="433"/>
      <c r="L73" s="433"/>
      <c r="M73" s="433"/>
      <c r="N73" s="433"/>
      <c r="O73" s="433"/>
      <c r="P73" s="433"/>
      <c r="Q73" s="433"/>
      <c r="R73" s="433"/>
      <c r="S73" s="433"/>
      <c r="T73" s="433"/>
      <c r="U73" s="433"/>
      <c r="V73" s="433"/>
      <c r="W73" s="433"/>
      <c r="X73" s="430"/>
      <c r="Y73" s="430"/>
      <c r="Z73" s="430"/>
      <c r="AA73" s="430"/>
      <c r="AB73" s="430"/>
      <c r="AC73" s="387" t="e">
        <f t="shared" si="17"/>
        <v>#N/A</v>
      </c>
      <c r="AD73" s="387"/>
      <c r="AE73" s="387"/>
      <c r="AF73" s="387"/>
      <c r="AG73" s="387"/>
      <c r="AH73" s="382" t="e">
        <f t="shared" si="18"/>
        <v>#N/A</v>
      </c>
      <c r="AI73" s="382"/>
      <c r="AJ73" s="382"/>
      <c r="AK73" s="382"/>
      <c r="AL73" s="382"/>
      <c r="AM73" s="382" t="str">
        <f t="shared" si="19"/>
        <v/>
      </c>
      <c r="AN73" s="382"/>
      <c r="AO73" s="382"/>
      <c r="AP73" s="382"/>
      <c r="AQ73" s="386"/>
      <c r="CI73" s="320">
        <f t="shared" si="20"/>
        <v>0</v>
      </c>
      <c r="CK73" s="5" t="e">
        <f t="shared" si="21"/>
        <v>#N/A</v>
      </c>
      <c r="CL73" s="200" t="e">
        <f t="shared" si="22"/>
        <v>#N/A</v>
      </c>
      <c r="CM73" s="324" t="e">
        <f t="shared" si="23"/>
        <v>#N/A</v>
      </c>
      <c r="CN73" s="344">
        <v>5</v>
      </c>
      <c r="CQ73" s="343" t="s">
        <v>728</v>
      </c>
      <c r="CR73" s="343">
        <v>1</v>
      </c>
      <c r="CS73" s="343" t="s">
        <v>183</v>
      </c>
      <c r="CT73" s="117"/>
      <c r="CU73" s="343" t="s">
        <v>720</v>
      </c>
      <c r="CV73" s="343">
        <v>1</v>
      </c>
      <c r="CW73" s="343" t="s">
        <v>110</v>
      </c>
      <c r="CY73" s="343" t="s">
        <v>702</v>
      </c>
      <c r="CZ73" s="343">
        <v>1</v>
      </c>
      <c r="DA73" s="343" t="s">
        <v>119</v>
      </c>
      <c r="DC73" s="343" t="s">
        <v>704</v>
      </c>
      <c r="DD73" s="343">
        <v>1</v>
      </c>
      <c r="DE73" s="343" t="s">
        <v>109</v>
      </c>
      <c r="DG73" s="343"/>
      <c r="DH73" s="343"/>
      <c r="DI73" s="343"/>
      <c r="DK73" s="343"/>
      <c r="DL73" s="343"/>
      <c r="DM73" s="343"/>
      <c r="DO73" s="343"/>
      <c r="DP73" s="343"/>
      <c r="DQ73" s="343"/>
      <c r="DS73" s="117" t="s">
        <v>401</v>
      </c>
      <c r="DU73" s="117" t="s">
        <v>182</v>
      </c>
      <c r="DV73" s="117" t="s">
        <v>182</v>
      </c>
      <c r="EK73" s="117"/>
      <c r="EL73" s="117"/>
      <c r="EM73" s="117"/>
    </row>
    <row r="74" spans="2:143" ht="14.25" customHeight="1" x14ac:dyDescent="0.2">
      <c r="B74" s="116">
        <f t="shared" si="24"/>
        <v>0</v>
      </c>
      <c r="C74" s="432" t="e">
        <f t="shared" si="16"/>
        <v>#N/A</v>
      </c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433"/>
      <c r="R74" s="433"/>
      <c r="S74" s="433"/>
      <c r="T74" s="433"/>
      <c r="U74" s="433"/>
      <c r="V74" s="433"/>
      <c r="W74" s="433"/>
      <c r="X74" s="430"/>
      <c r="Y74" s="430"/>
      <c r="Z74" s="430"/>
      <c r="AA74" s="430"/>
      <c r="AB74" s="430"/>
      <c r="AC74" s="387" t="e">
        <f t="shared" si="17"/>
        <v>#N/A</v>
      </c>
      <c r="AD74" s="387"/>
      <c r="AE74" s="387"/>
      <c r="AF74" s="387"/>
      <c r="AG74" s="387"/>
      <c r="AH74" s="382" t="e">
        <f t="shared" si="18"/>
        <v>#N/A</v>
      </c>
      <c r="AI74" s="382"/>
      <c r="AJ74" s="382"/>
      <c r="AK74" s="382"/>
      <c r="AL74" s="382"/>
      <c r="AM74" s="382" t="str">
        <f t="shared" si="19"/>
        <v/>
      </c>
      <c r="AN74" s="382"/>
      <c r="AO74" s="382"/>
      <c r="AP74" s="382"/>
      <c r="AQ74" s="386"/>
      <c r="CI74" s="340">
        <f t="shared" si="20"/>
        <v>0</v>
      </c>
      <c r="CK74" s="5" t="e">
        <f t="shared" si="21"/>
        <v>#N/A</v>
      </c>
      <c r="CL74" s="200" t="e">
        <f t="shared" si="22"/>
        <v>#N/A</v>
      </c>
      <c r="CM74" s="324" t="e">
        <f t="shared" si="23"/>
        <v>#N/A</v>
      </c>
      <c r="CN74" s="344">
        <v>6</v>
      </c>
      <c r="CQ74" s="343" t="s">
        <v>708</v>
      </c>
      <c r="CR74" s="343">
        <v>1</v>
      </c>
      <c r="CS74" s="343" t="s">
        <v>182</v>
      </c>
      <c r="CT74" s="117"/>
      <c r="CU74" s="343" t="s">
        <v>706</v>
      </c>
      <c r="CV74" s="343">
        <v>1</v>
      </c>
      <c r="CW74" s="343" t="s">
        <v>182</v>
      </c>
      <c r="CY74" s="343" t="s">
        <v>689</v>
      </c>
      <c r="CZ74" s="343">
        <v>1</v>
      </c>
      <c r="DA74" s="343" t="s">
        <v>183</v>
      </c>
      <c r="DC74" s="343" t="s">
        <v>735</v>
      </c>
      <c r="DD74" s="343">
        <v>1</v>
      </c>
      <c r="DE74" s="343" t="s">
        <v>119</v>
      </c>
      <c r="DG74" s="343"/>
      <c r="DH74" s="343"/>
      <c r="DI74" s="343"/>
      <c r="DK74" s="343"/>
      <c r="DL74" s="343"/>
      <c r="DM74" s="343"/>
      <c r="DO74" s="343"/>
      <c r="DP74" s="343"/>
      <c r="DQ74" s="343"/>
      <c r="DS74" s="117" t="s">
        <v>401</v>
      </c>
      <c r="DU74" s="117" t="s">
        <v>182</v>
      </c>
      <c r="DV74" s="117" t="s">
        <v>182</v>
      </c>
      <c r="EK74" s="117"/>
      <c r="EL74" s="117"/>
      <c r="EM74" s="117"/>
    </row>
    <row r="75" spans="2:143" ht="14.25" customHeight="1" x14ac:dyDescent="0.2">
      <c r="B75" s="116">
        <f t="shared" si="24"/>
        <v>0</v>
      </c>
      <c r="C75" s="432" t="e">
        <f t="shared" si="16"/>
        <v>#N/A</v>
      </c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3"/>
      <c r="Q75" s="433"/>
      <c r="R75" s="433"/>
      <c r="S75" s="433"/>
      <c r="T75" s="433"/>
      <c r="U75" s="433"/>
      <c r="V75" s="433"/>
      <c r="W75" s="433"/>
      <c r="X75" s="430"/>
      <c r="Y75" s="430"/>
      <c r="Z75" s="430"/>
      <c r="AA75" s="430"/>
      <c r="AB75" s="430"/>
      <c r="AC75" s="387" t="e">
        <f t="shared" si="17"/>
        <v>#N/A</v>
      </c>
      <c r="AD75" s="387"/>
      <c r="AE75" s="387"/>
      <c r="AF75" s="387"/>
      <c r="AG75" s="387"/>
      <c r="AH75" s="382" t="e">
        <f t="shared" si="18"/>
        <v>#N/A</v>
      </c>
      <c r="AI75" s="382"/>
      <c r="AJ75" s="382"/>
      <c r="AK75" s="382"/>
      <c r="AL75" s="382"/>
      <c r="AM75" s="382" t="str">
        <f t="shared" si="19"/>
        <v/>
      </c>
      <c r="AN75" s="382"/>
      <c r="AO75" s="382"/>
      <c r="AP75" s="382"/>
      <c r="AQ75" s="386"/>
      <c r="CI75" s="340">
        <f t="shared" si="20"/>
        <v>0</v>
      </c>
      <c r="CK75" s="5" t="e">
        <f t="shared" si="21"/>
        <v>#N/A</v>
      </c>
      <c r="CL75" s="200" t="e">
        <f t="shared" si="22"/>
        <v>#N/A</v>
      </c>
      <c r="CM75" s="324" t="e">
        <f t="shared" si="23"/>
        <v>#N/A</v>
      </c>
      <c r="CN75" s="344">
        <v>7</v>
      </c>
      <c r="CO75" s="117"/>
      <c r="CP75" s="117"/>
      <c r="CQ75" s="343" t="s">
        <v>729</v>
      </c>
      <c r="CR75" s="343">
        <v>2</v>
      </c>
      <c r="CS75" s="343" t="s">
        <v>109</v>
      </c>
      <c r="CT75" s="117"/>
      <c r="CU75" s="343" t="s">
        <v>721</v>
      </c>
      <c r="CV75" s="343">
        <v>1</v>
      </c>
      <c r="CW75" s="343" t="s">
        <v>399</v>
      </c>
      <c r="CY75" s="343" t="s">
        <v>744</v>
      </c>
      <c r="CZ75" s="343">
        <v>2</v>
      </c>
      <c r="DA75" s="343" t="s">
        <v>110</v>
      </c>
      <c r="DC75" s="343" t="s">
        <v>691</v>
      </c>
      <c r="DD75" s="343">
        <v>1</v>
      </c>
      <c r="DE75" s="343" t="s">
        <v>109</v>
      </c>
      <c r="DT75" s="116"/>
      <c r="DU75" s="116"/>
      <c r="DV75" s="116"/>
      <c r="DW75" s="116"/>
      <c r="DX75" s="116"/>
    </row>
    <row r="76" spans="2:143" ht="14.25" customHeight="1" x14ac:dyDescent="0.2">
      <c r="B76" s="116">
        <f t="shared" si="24"/>
        <v>0</v>
      </c>
      <c r="C76" s="432" t="e">
        <f t="shared" si="16"/>
        <v>#N/A</v>
      </c>
      <c r="D76" s="433"/>
      <c r="E76" s="433"/>
      <c r="F76" s="433"/>
      <c r="G76" s="433"/>
      <c r="H76" s="433"/>
      <c r="I76" s="433"/>
      <c r="J76" s="433"/>
      <c r="K76" s="433"/>
      <c r="L76" s="433"/>
      <c r="M76" s="433"/>
      <c r="N76" s="433"/>
      <c r="O76" s="433"/>
      <c r="P76" s="433"/>
      <c r="Q76" s="433"/>
      <c r="R76" s="433"/>
      <c r="S76" s="433"/>
      <c r="T76" s="433"/>
      <c r="U76" s="433"/>
      <c r="V76" s="433"/>
      <c r="W76" s="433"/>
      <c r="X76" s="430"/>
      <c r="Y76" s="430"/>
      <c r="Z76" s="430"/>
      <c r="AA76" s="430"/>
      <c r="AB76" s="430"/>
      <c r="AC76" s="387" t="e">
        <f t="shared" si="17"/>
        <v>#N/A</v>
      </c>
      <c r="AD76" s="387"/>
      <c r="AE76" s="387"/>
      <c r="AF76" s="387"/>
      <c r="AG76" s="387"/>
      <c r="AH76" s="382" t="e">
        <f t="shared" si="18"/>
        <v>#N/A</v>
      </c>
      <c r="AI76" s="382"/>
      <c r="AJ76" s="382"/>
      <c r="AK76" s="382"/>
      <c r="AL76" s="382"/>
      <c r="AM76" s="382" t="str">
        <f t="shared" si="19"/>
        <v/>
      </c>
      <c r="AN76" s="382"/>
      <c r="AO76" s="382"/>
      <c r="AP76" s="382"/>
      <c r="AQ76" s="386"/>
      <c r="CI76" s="340">
        <f t="shared" si="20"/>
        <v>0</v>
      </c>
      <c r="CK76" s="5" t="e">
        <f t="shared" si="21"/>
        <v>#N/A</v>
      </c>
      <c r="CL76" s="200" t="e">
        <f t="shared" si="22"/>
        <v>#N/A</v>
      </c>
      <c r="CM76" s="324" t="e">
        <f t="shared" si="23"/>
        <v>#N/A</v>
      </c>
      <c r="CN76" s="349">
        <v>8</v>
      </c>
      <c r="CO76" s="117"/>
      <c r="CP76" s="117"/>
      <c r="CQ76" s="343" t="s">
        <v>730</v>
      </c>
      <c r="CR76" s="343">
        <v>2</v>
      </c>
      <c r="CS76" s="343" t="s">
        <v>119</v>
      </c>
      <c r="CT76" s="117"/>
      <c r="CU76" s="343" t="s">
        <v>722</v>
      </c>
      <c r="CV76" s="343">
        <v>2</v>
      </c>
      <c r="CW76" s="343" t="s">
        <v>182</v>
      </c>
      <c r="CY76" s="343" t="s">
        <v>745</v>
      </c>
      <c r="CZ76" s="343">
        <v>2</v>
      </c>
      <c r="DA76" s="343" t="s">
        <v>182</v>
      </c>
      <c r="DC76" s="343" t="s">
        <v>736</v>
      </c>
      <c r="DD76" s="343">
        <v>2</v>
      </c>
      <c r="DE76" s="343" t="s">
        <v>110</v>
      </c>
      <c r="DT76" s="116"/>
      <c r="DU76" s="116"/>
      <c r="DV76" s="116"/>
      <c r="DW76" s="116"/>
      <c r="DX76" s="116"/>
    </row>
    <row r="77" spans="2:143" ht="14.25" customHeight="1" x14ac:dyDescent="0.2">
      <c r="B77" s="116">
        <f t="shared" si="24"/>
        <v>0</v>
      </c>
      <c r="C77" s="432" t="e">
        <f t="shared" si="16"/>
        <v>#N/A</v>
      </c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433"/>
      <c r="V77" s="433"/>
      <c r="W77" s="433"/>
      <c r="X77" s="430"/>
      <c r="Y77" s="430"/>
      <c r="Z77" s="430"/>
      <c r="AA77" s="430"/>
      <c r="AB77" s="430"/>
      <c r="AC77" s="387" t="e">
        <f t="shared" si="17"/>
        <v>#N/A</v>
      </c>
      <c r="AD77" s="387"/>
      <c r="AE77" s="387"/>
      <c r="AF77" s="387"/>
      <c r="AG77" s="387"/>
      <c r="AH77" s="382" t="e">
        <f t="shared" si="18"/>
        <v>#N/A</v>
      </c>
      <c r="AI77" s="382"/>
      <c r="AJ77" s="382"/>
      <c r="AK77" s="382"/>
      <c r="AL77" s="382"/>
      <c r="AM77" s="382" t="str">
        <f t="shared" si="19"/>
        <v/>
      </c>
      <c r="AN77" s="382"/>
      <c r="AO77" s="382"/>
      <c r="AP77" s="382"/>
      <c r="AQ77" s="386"/>
      <c r="CI77" s="340">
        <f t="shared" si="20"/>
        <v>0</v>
      </c>
      <c r="CK77" s="5" t="e">
        <f t="shared" si="21"/>
        <v>#N/A</v>
      </c>
      <c r="CL77" s="200" t="e">
        <f t="shared" si="22"/>
        <v>#N/A</v>
      </c>
      <c r="CM77" s="324" t="e">
        <f t="shared" si="23"/>
        <v>#N/A</v>
      </c>
      <c r="CN77" s="344">
        <v>9</v>
      </c>
      <c r="CO77" s="117"/>
      <c r="CP77" s="117"/>
      <c r="CQ77" s="343" t="s">
        <v>731</v>
      </c>
      <c r="CR77" s="343">
        <v>1</v>
      </c>
      <c r="CS77" s="343" t="s">
        <v>110</v>
      </c>
      <c r="CT77" s="117"/>
      <c r="CU77" s="343" t="s">
        <v>693</v>
      </c>
      <c r="CV77" s="343">
        <v>1</v>
      </c>
      <c r="CW77" s="343" t="s">
        <v>110</v>
      </c>
      <c r="CY77" s="343" t="s">
        <v>746</v>
      </c>
      <c r="CZ77" s="343">
        <v>1</v>
      </c>
      <c r="DA77" s="343" t="s">
        <v>110</v>
      </c>
      <c r="DC77" s="343" t="s">
        <v>737</v>
      </c>
      <c r="DD77" s="343">
        <v>1</v>
      </c>
      <c r="DE77" s="343" t="s">
        <v>112</v>
      </c>
      <c r="DT77" s="116"/>
      <c r="DU77" s="116"/>
      <c r="DV77" s="116"/>
      <c r="DW77" s="116"/>
      <c r="DX77" s="116"/>
    </row>
    <row r="78" spans="2:143" ht="14.25" customHeight="1" x14ac:dyDescent="0.2">
      <c r="B78" s="116">
        <f t="shared" si="24"/>
        <v>0</v>
      </c>
      <c r="C78" s="432" t="e">
        <f t="shared" si="16"/>
        <v>#N/A</v>
      </c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  <c r="R78" s="433"/>
      <c r="S78" s="433"/>
      <c r="T78" s="433"/>
      <c r="U78" s="433"/>
      <c r="V78" s="433"/>
      <c r="W78" s="433"/>
      <c r="X78" s="430"/>
      <c r="Y78" s="430"/>
      <c r="Z78" s="430"/>
      <c r="AA78" s="430"/>
      <c r="AB78" s="430"/>
      <c r="AC78" s="387" t="e">
        <f t="shared" si="17"/>
        <v>#N/A</v>
      </c>
      <c r="AD78" s="387"/>
      <c r="AE78" s="387"/>
      <c r="AF78" s="387"/>
      <c r="AG78" s="387"/>
      <c r="AH78" s="382" t="e">
        <f t="shared" si="18"/>
        <v>#N/A</v>
      </c>
      <c r="AI78" s="382"/>
      <c r="AJ78" s="382"/>
      <c r="AK78" s="382"/>
      <c r="AL78" s="382"/>
      <c r="AM78" s="382" t="str">
        <f t="shared" si="19"/>
        <v/>
      </c>
      <c r="AN78" s="382"/>
      <c r="AO78" s="382"/>
      <c r="AP78" s="382"/>
      <c r="AQ78" s="386"/>
      <c r="CI78" s="340">
        <f t="shared" si="20"/>
        <v>0</v>
      </c>
      <c r="CK78" s="5" t="e">
        <f t="shared" si="21"/>
        <v>#N/A</v>
      </c>
      <c r="CL78" s="200" t="e">
        <f t="shared" si="22"/>
        <v>#N/A</v>
      </c>
      <c r="CM78" s="324" t="e">
        <f t="shared" si="23"/>
        <v>#N/A</v>
      </c>
      <c r="CN78" s="344">
        <v>10</v>
      </c>
      <c r="CO78" s="117"/>
      <c r="CP78" s="117"/>
      <c r="CQ78" s="343" t="s">
        <v>732</v>
      </c>
      <c r="CR78" s="343">
        <v>2</v>
      </c>
      <c r="CS78" s="343" t="s">
        <v>110</v>
      </c>
      <c r="CT78" s="117"/>
      <c r="CU78" s="343" t="s">
        <v>723</v>
      </c>
      <c r="CV78" s="343">
        <v>2</v>
      </c>
      <c r="CW78" s="343" t="s">
        <v>110</v>
      </c>
      <c r="CY78" s="343" t="s">
        <v>709</v>
      </c>
      <c r="CZ78" s="343">
        <v>1</v>
      </c>
      <c r="DA78" s="343" t="s">
        <v>183</v>
      </c>
      <c r="DC78" s="343" t="s">
        <v>738</v>
      </c>
      <c r="DD78" s="343">
        <v>2</v>
      </c>
      <c r="DE78" s="343" t="s">
        <v>109</v>
      </c>
      <c r="DT78" s="116"/>
      <c r="DU78" s="116"/>
      <c r="DV78" s="116"/>
      <c r="DW78" s="116"/>
      <c r="DX78" s="116"/>
    </row>
    <row r="79" spans="2:143" ht="12.6" x14ac:dyDescent="0.2">
      <c r="B79" s="116">
        <f t="shared" si="24"/>
        <v>0</v>
      </c>
      <c r="C79" s="432" t="e">
        <f t="shared" si="16"/>
        <v>#N/A</v>
      </c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0"/>
      <c r="Y79" s="430"/>
      <c r="Z79" s="430"/>
      <c r="AA79" s="430"/>
      <c r="AB79" s="430"/>
      <c r="AC79" s="387" t="e">
        <f t="shared" si="17"/>
        <v>#N/A</v>
      </c>
      <c r="AD79" s="387"/>
      <c r="AE79" s="387"/>
      <c r="AF79" s="387"/>
      <c r="AG79" s="387"/>
      <c r="AH79" s="382" t="e">
        <f t="shared" si="18"/>
        <v>#N/A</v>
      </c>
      <c r="AI79" s="382"/>
      <c r="AJ79" s="382"/>
      <c r="AK79" s="382"/>
      <c r="AL79" s="382"/>
      <c r="AM79" s="382" t="str">
        <f t="shared" si="19"/>
        <v/>
      </c>
      <c r="AN79" s="382"/>
      <c r="AO79" s="382"/>
      <c r="AP79" s="382"/>
      <c r="AQ79" s="386"/>
      <c r="CI79" s="340">
        <f t="shared" si="20"/>
        <v>0</v>
      </c>
      <c r="CK79" s="5" t="e">
        <f t="shared" si="21"/>
        <v>#N/A</v>
      </c>
      <c r="CL79" s="200" t="e">
        <f t="shared" si="22"/>
        <v>#N/A</v>
      </c>
      <c r="CM79" s="324" t="e">
        <f t="shared" si="23"/>
        <v>#N/A</v>
      </c>
      <c r="CN79" s="344">
        <v>11</v>
      </c>
      <c r="CO79" s="117"/>
      <c r="CP79" s="117"/>
      <c r="CQ79" s="343" t="s">
        <v>733</v>
      </c>
      <c r="CR79" s="343">
        <v>2</v>
      </c>
      <c r="CS79" s="343" t="s">
        <v>110</v>
      </c>
      <c r="CT79" s="117"/>
      <c r="CU79" s="343" t="s">
        <v>724</v>
      </c>
      <c r="CV79" s="343">
        <v>2</v>
      </c>
      <c r="CW79" s="343" t="s">
        <v>182</v>
      </c>
      <c r="CY79" s="343" t="s">
        <v>710</v>
      </c>
      <c r="CZ79" s="343">
        <v>1</v>
      </c>
      <c r="DA79" s="343" t="s">
        <v>110</v>
      </c>
      <c r="DC79" s="343" t="s">
        <v>739</v>
      </c>
      <c r="DD79" s="343">
        <v>2</v>
      </c>
      <c r="DE79" s="343" t="s">
        <v>182</v>
      </c>
      <c r="DT79" s="116"/>
      <c r="DU79" s="116"/>
      <c r="DV79" s="116"/>
      <c r="DW79" s="116"/>
      <c r="DX79" s="116"/>
    </row>
    <row r="80" spans="2:143" ht="12.6" x14ac:dyDescent="0.2">
      <c r="B80" s="116">
        <f t="shared" si="24"/>
        <v>0</v>
      </c>
      <c r="C80" s="432" t="e">
        <f t="shared" si="16"/>
        <v>#N/A</v>
      </c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433"/>
      <c r="O80" s="433"/>
      <c r="P80" s="433"/>
      <c r="Q80" s="433"/>
      <c r="R80" s="433"/>
      <c r="S80" s="433"/>
      <c r="T80" s="433"/>
      <c r="U80" s="433"/>
      <c r="V80" s="433"/>
      <c r="W80" s="433"/>
      <c r="X80" s="430"/>
      <c r="Y80" s="430"/>
      <c r="Z80" s="430"/>
      <c r="AA80" s="430"/>
      <c r="AB80" s="430"/>
      <c r="AC80" s="387" t="e">
        <f t="shared" si="17"/>
        <v>#N/A</v>
      </c>
      <c r="AD80" s="387"/>
      <c r="AE80" s="387"/>
      <c r="AF80" s="387"/>
      <c r="AG80" s="387"/>
      <c r="AH80" s="382" t="e">
        <f t="shared" si="18"/>
        <v>#N/A</v>
      </c>
      <c r="AI80" s="382"/>
      <c r="AJ80" s="382"/>
      <c r="AK80" s="382"/>
      <c r="AL80" s="382"/>
      <c r="AM80" s="382" t="str">
        <f t="shared" si="19"/>
        <v/>
      </c>
      <c r="AN80" s="382"/>
      <c r="AO80" s="382"/>
      <c r="AP80" s="382"/>
      <c r="AQ80" s="386"/>
      <c r="CI80" s="340">
        <f t="shared" si="20"/>
        <v>0</v>
      </c>
      <c r="CK80" s="5" t="e">
        <f t="shared" si="21"/>
        <v>#N/A</v>
      </c>
      <c r="CL80" s="200" t="e">
        <f t="shared" si="22"/>
        <v>#N/A</v>
      </c>
      <c r="CM80" s="324" t="e">
        <f t="shared" si="23"/>
        <v>#N/A</v>
      </c>
      <c r="CN80" s="344">
        <v>12</v>
      </c>
      <c r="CO80" s="117"/>
      <c r="CP80" s="117"/>
      <c r="CQ80" s="343" t="s">
        <v>714</v>
      </c>
      <c r="CR80" s="343">
        <v>1</v>
      </c>
      <c r="CS80" s="343" t="s">
        <v>400</v>
      </c>
      <c r="CT80" s="117"/>
      <c r="CU80" s="343" t="s">
        <v>725</v>
      </c>
      <c r="CV80" s="343">
        <v>2</v>
      </c>
      <c r="CW80" s="343" t="s">
        <v>110</v>
      </c>
      <c r="CY80" s="343" t="s">
        <v>747</v>
      </c>
      <c r="CZ80" s="343">
        <v>2</v>
      </c>
      <c r="DA80" s="343" t="s">
        <v>110</v>
      </c>
      <c r="DC80" s="343" t="s">
        <v>740</v>
      </c>
      <c r="DD80" s="343">
        <v>2</v>
      </c>
      <c r="DE80" s="343" t="s">
        <v>182</v>
      </c>
      <c r="DT80" s="116"/>
      <c r="DU80" s="116"/>
      <c r="DV80" s="116"/>
      <c r="DW80" s="116"/>
      <c r="DX80" s="116"/>
    </row>
    <row r="81" spans="2:135" ht="13.2" thickBot="1" x14ac:dyDescent="0.25">
      <c r="B81" s="116">
        <f t="shared" si="24"/>
        <v>0</v>
      </c>
      <c r="C81" s="434" t="e">
        <f t="shared" si="16"/>
        <v>#N/A</v>
      </c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5"/>
      <c r="R81" s="435"/>
      <c r="S81" s="435"/>
      <c r="T81" s="435"/>
      <c r="U81" s="435"/>
      <c r="V81" s="435"/>
      <c r="W81" s="435"/>
      <c r="X81" s="431"/>
      <c r="Y81" s="431"/>
      <c r="Z81" s="431"/>
      <c r="AA81" s="431"/>
      <c r="AB81" s="431"/>
      <c r="AC81" s="387" t="e">
        <f t="shared" si="17"/>
        <v>#N/A</v>
      </c>
      <c r="AD81" s="387"/>
      <c r="AE81" s="387"/>
      <c r="AF81" s="387"/>
      <c r="AG81" s="387"/>
      <c r="AH81" s="426" t="e">
        <f t="shared" si="18"/>
        <v>#N/A</v>
      </c>
      <c r="AI81" s="426"/>
      <c r="AJ81" s="426"/>
      <c r="AK81" s="426"/>
      <c r="AL81" s="426"/>
      <c r="AM81" s="426" t="str">
        <f t="shared" si="19"/>
        <v/>
      </c>
      <c r="AN81" s="426"/>
      <c r="AO81" s="426"/>
      <c r="AP81" s="426"/>
      <c r="AQ81" s="427"/>
      <c r="CI81" s="340">
        <f t="shared" si="20"/>
        <v>0</v>
      </c>
      <c r="CK81" s="5" t="e">
        <f t="shared" si="21"/>
        <v>#N/A</v>
      </c>
      <c r="CL81" s="200" t="e">
        <f t="shared" si="22"/>
        <v>#N/A</v>
      </c>
      <c r="CM81" s="324" t="e">
        <f t="shared" si="23"/>
        <v>#N/A</v>
      </c>
      <c r="CN81" s="344">
        <v>13</v>
      </c>
      <c r="CO81" s="117"/>
      <c r="CP81" s="117"/>
      <c r="CQ81" s="117"/>
      <c r="CR81" s="117"/>
      <c r="CS81" s="117"/>
      <c r="CT81" s="117"/>
      <c r="CU81" s="117"/>
      <c r="DT81" s="116"/>
      <c r="DU81" s="116"/>
      <c r="DV81" s="116"/>
      <c r="DW81" s="116"/>
      <c r="DX81" s="116"/>
    </row>
    <row r="82" spans="2:135" ht="13.2" thickBot="1" x14ac:dyDescent="0.25">
      <c r="B82" s="336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9"/>
      <c r="Y82" s="429"/>
      <c r="Z82" s="429"/>
      <c r="AA82" s="429"/>
      <c r="AB82" s="429"/>
      <c r="AC82" s="399"/>
      <c r="AD82" s="399"/>
      <c r="AE82" s="399"/>
      <c r="AF82" s="399"/>
      <c r="AG82" s="399"/>
      <c r="AH82" s="399"/>
      <c r="AI82" s="399"/>
      <c r="AJ82" s="399"/>
      <c r="AK82" s="399"/>
      <c r="AL82" s="399"/>
      <c r="AM82" s="399"/>
      <c r="AN82" s="399"/>
      <c r="AO82" s="399"/>
      <c r="AP82" s="399"/>
      <c r="AQ82" s="399"/>
      <c r="CI82" s="341">
        <f>SUM(CI34:CI81)</f>
        <v>0</v>
      </c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DT82" s="116"/>
      <c r="DU82" s="116"/>
      <c r="DV82" s="116"/>
      <c r="DW82" s="116"/>
      <c r="DX82" s="116"/>
    </row>
    <row r="83" spans="2:135" ht="12.6" x14ac:dyDescent="0.2"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DT83" s="116"/>
      <c r="DU83" s="116"/>
      <c r="DV83" s="116"/>
      <c r="DW83" s="116"/>
      <c r="DX83" s="116"/>
    </row>
    <row r="84" spans="2:135" ht="13.2" x14ac:dyDescent="0.25">
      <c r="CQ84"/>
      <c r="CV84" s="116"/>
      <c r="CW84" s="116"/>
      <c r="EA84" s="117"/>
      <c r="EB84" s="117"/>
      <c r="EC84" s="117"/>
      <c r="ED84" s="117"/>
      <c r="EE84" s="117"/>
    </row>
    <row r="85" spans="2:135" ht="13.2" x14ac:dyDescent="0.25">
      <c r="CQ85"/>
      <c r="CV85" s="116"/>
      <c r="CW85" s="116"/>
      <c r="EA85" s="117"/>
      <c r="EB85" s="117"/>
      <c r="EC85" s="117"/>
      <c r="ED85" s="117"/>
      <c r="EE85" s="117"/>
    </row>
    <row r="86" spans="2:135" ht="13.2" x14ac:dyDescent="0.25">
      <c r="CO86" s="198"/>
      <c r="CQ86"/>
      <c r="CV86" s="116"/>
      <c r="CW86" s="116"/>
      <c r="EA86" s="117"/>
      <c r="EB86" s="117"/>
      <c r="EC86" s="117"/>
      <c r="ED86" s="117"/>
      <c r="EE86" s="117"/>
    </row>
    <row r="87" spans="2:135" ht="13.2" x14ac:dyDescent="0.25">
      <c r="CO87" s="198"/>
      <c r="CQ87"/>
      <c r="CV87" s="116"/>
      <c r="CW87" s="116"/>
      <c r="EA87" s="117"/>
      <c r="EB87" s="117"/>
      <c r="EC87" s="117"/>
      <c r="ED87" s="117"/>
      <c r="EE87" s="117"/>
    </row>
    <row r="88" spans="2:135" ht="13.2" x14ac:dyDescent="0.25">
      <c r="CO88" s="198"/>
      <c r="CQ88"/>
      <c r="CV88" s="116"/>
      <c r="CW88" s="116"/>
    </row>
    <row r="89" spans="2:135" ht="13.2" x14ac:dyDescent="0.25">
      <c r="CO89" s="198"/>
      <c r="CQ89"/>
      <c r="CV89" s="116"/>
      <c r="CW89" s="116"/>
    </row>
    <row r="90" spans="2:135" ht="13.2" x14ac:dyDescent="0.25">
      <c r="CO90" s="198"/>
      <c r="CQ90"/>
      <c r="CV90" s="116"/>
      <c r="CW90" s="116"/>
    </row>
    <row r="91" spans="2:135" ht="13.2" x14ac:dyDescent="0.25">
      <c r="CO91"/>
      <c r="CP91" s="199"/>
      <c r="CQ91"/>
      <c r="CV91" s="116"/>
      <c r="CW91" s="116"/>
    </row>
    <row r="92" spans="2:135" ht="13.2" x14ac:dyDescent="0.25">
      <c r="CP92" s="199"/>
      <c r="CQ92"/>
      <c r="CV92" s="116"/>
      <c r="CW92" s="116"/>
    </row>
    <row r="93" spans="2:135" ht="13.2" x14ac:dyDescent="0.25">
      <c r="CP93" s="199"/>
      <c r="CQ93"/>
      <c r="CU93"/>
      <c r="CV93" s="116"/>
      <c r="CW93" s="116"/>
    </row>
    <row r="94" spans="2:135" ht="13.2" x14ac:dyDescent="0.25">
      <c r="CP94" s="199"/>
      <c r="CQ94"/>
      <c r="CU94"/>
      <c r="CV94" s="116"/>
      <c r="CW94" s="116"/>
    </row>
    <row r="95" spans="2:135" ht="13.2" x14ac:dyDescent="0.25">
      <c r="CP95" s="199"/>
      <c r="CQ95"/>
    </row>
    <row r="96" spans="2:135" ht="13.2" x14ac:dyDescent="0.25">
      <c r="CP96"/>
      <c r="CQ96"/>
    </row>
  </sheetData>
  <sheetProtection sheet="1" objects="1" scenarios="1" formatCells="0" formatColumns="0" formatRows="0"/>
  <sortState ref="CI23:CI29">
    <sortCondition ref="CI33"/>
  </sortState>
  <dataConsolidate>
    <dataRefs count="1">
      <dataRef ref="CD33:CE49" sheet="Combate"/>
    </dataRefs>
  </dataConsolidate>
  <mergeCells count="322">
    <mergeCell ref="AK6:AO6"/>
    <mergeCell ref="AK7:AO7"/>
    <mergeCell ref="AK8:AO8"/>
    <mergeCell ref="AK9:AO9"/>
    <mergeCell ref="AK10:AO10"/>
    <mergeCell ref="AK11:AO11"/>
    <mergeCell ref="AK12:AO12"/>
    <mergeCell ref="AK13:AO13"/>
    <mergeCell ref="AK14:AO14"/>
    <mergeCell ref="C66:W66"/>
    <mergeCell ref="X66:AB66"/>
    <mergeCell ref="AH66:AL66"/>
    <mergeCell ref="AM66:AQ66"/>
    <mergeCell ref="C33:W33"/>
    <mergeCell ref="C45:W45"/>
    <mergeCell ref="X45:AB45"/>
    <mergeCell ref="AH45:AL45"/>
    <mergeCell ref="AM45:AQ45"/>
    <mergeCell ref="AH35:AL35"/>
    <mergeCell ref="X35:AB35"/>
    <mergeCell ref="C35:W35"/>
    <mergeCell ref="X34:AB34"/>
    <mergeCell ref="C34:W34"/>
    <mergeCell ref="AM33:AQ33"/>
    <mergeCell ref="X33:AB33"/>
    <mergeCell ref="AM43:AQ43"/>
    <mergeCell ref="AH43:AL43"/>
    <mergeCell ref="X43:AB43"/>
    <mergeCell ref="C43:W43"/>
    <mergeCell ref="C67:W67"/>
    <mergeCell ref="X67:AB67"/>
    <mergeCell ref="AH67:AL67"/>
    <mergeCell ref="AM67:AQ67"/>
    <mergeCell ref="C47:W47"/>
    <mergeCell ref="X47:AB47"/>
    <mergeCell ref="AH47:AL47"/>
    <mergeCell ref="AM47:AQ47"/>
    <mergeCell ref="C48:W48"/>
    <mergeCell ref="X48:AB48"/>
    <mergeCell ref="AH48:AL48"/>
    <mergeCell ref="AM48:AQ48"/>
    <mergeCell ref="C49:W49"/>
    <mergeCell ref="X49:AB49"/>
    <mergeCell ref="AH49:AL49"/>
    <mergeCell ref="AM49:AQ49"/>
    <mergeCell ref="C51:W51"/>
    <mergeCell ref="X51:AB51"/>
    <mergeCell ref="AH51:AL51"/>
    <mergeCell ref="AM51:AQ51"/>
    <mergeCell ref="C50:W50"/>
    <mergeCell ref="X50:AB50"/>
    <mergeCell ref="AH50:AL50"/>
    <mergeCell ref="AM50:AQ50"/>
    <mergeCell ref="C8:AE8"/>
    <mergeCell ref="C27:X27"/>
    <mergeCell ref="AM37:AQ37"/>
    <mergeCell ref="AH37:AL37"/>
    <mergeCell ref="X37:AB37"/>
    <mergeCell ref="C37:W37"/>
    <mergeCell ref="AM38:AQ38"/>
    <mergeCell ref="AH38:AL38"/>
    <mergeCell ref="AM39:AQ39"/>
    <mergeCell ref="AH39:AL39"/>
    <mergeCell ref="X39:AB39"/>
    <mergeCell ref="C39:W39"/>
    <mergeCell ref="AC34:AG34"/>
    <mergeCell ref="AC35:AG35"/>
    <mergeCell ref="AC36:AG36"/>
    <mergeCell ref="AC37:AG37"/>
    <mergeCell ref="AM44:AQ44"/>
    <mergeCell ref="AH44:AL44"/>
    <mergeCell ref="X44:AB44"/>
    <mergeCell ref="C44:W44"/>
    <mergeCell ref="AC38:AG38"/>
    <mergeCell ref="AC39:AG39"/>
    <mergeCell ref="AC40:AG40"/>
    <mergeCell ref="AC41:AG41"/>
    <mergeCell ref="AC42:AG42"/>
    <mergeCell ref="AC43:AG43"/>
    <mergeCell ref="AC44:AG44"/>
    <mergeCell ref="X41:AB41"/>
    <mergeCell ref="C41:W41"/>
    <mergeCell ref="AM41:AQ41"/>
    <mergeCell ref="AH41:AL41"/>
    <mergeCell ref="X40:AB40"/>
    <mergeCell ref="C40:W40"/>
    <mergeCell ref="X42:AB42"/>
    <mergeCell ref="C42:W42"/>
    <mergeCell ref="AM42:AQ42"/>
    <mergeCell ref="AH42:AL42"/>
    <mergeCell ref="Y21:AC21"/>
    <mergeCell ref="C20:X20"/>
    <mergeCell ref="Y20:AC20"/>
    <mergeCell ref="C25:X25"/>
    <mergeCell ref="Y25:AC25"/>
    <mergeCell ref="AD25:AH25"/>
    <mergeCell ref="Y24:AC24"/>
    <mergeCell ref="AM40:AQ40"/>
    <mergeCell ref="AH40:AL40"/>
    <mergeCell ref="X38:AB38"/>
    <mergeCell ref="C38:W38"/>
    <mergeCell ref="C71:W71"/>
    <mergeCell ref="AM70:AQ70"/>
    <mergeCell ref="AH70:AL70"/>
    <mergeCell ref="AF8:AJ8"/>
    <mergeCell ref="AM72:AQ72"/>
    <mergeCell ref="AH72:AL72"/>
    <mergeCell ref="X72:AB72"/>
    <mergeCell ref="C72:W72"/>
    <mergeCell ref="X70:AB70"/>
    <mergeCell ref="C70:W70"/>
    <mergeCell ref="AM69:AQ69"/>
    <mergeCell ref="AH69:AL69"/>
    <mergeCell ref="AF10:AJ10"/>
    <mergeCell ref="C9:AE9"/>
    <mergeCell ref="AF9:AJ9"/>
    <mergeCell ref="C22:X22"/>
    <mergeCell ref="Y22:AC22"/>
    <mergeCell ref="C11:AE11"/>
    <mergeCell ref="AF11:AJ11"/>
    <mergeCell ref="AD24:AH24"/>
    <mergeCell ref="C21:X21"/>
    <mergeCell ref="C69:W69"/>
    <mergeCell ref="X69:AB69"/>
    <mergeCell ref="C10:AE10"/>
    <mergeCell ref="X74:AB74"/>
    <mergeCell ref="C74:W74"/>
    <mergeCell ref="AM73:AQ73"/>
    <mergeCell ref="AH73:AL73"/>
    <mergeCell ref="X73:AB73"/>
    <mergeCell ref="C73:W73"/>
    <mergeCell ref="C26:X26"/>
    <mergeCell ref="Y26:AC26"/>
    <mergeCell ref="AD26:AH26"/>
    <mergeCell ref="AH36:AL36"/>
    <mergeCell ref="AH33:AL33"/>
    <mergeCell ref="Y27:AC27"/>
    <mergeCell ref="AD27:AH27"/>
    <mergeCell ref="X36:AB36"/>
    <mergeCell ref="AH31:AL31"/>
    <mergeCell ref="O31:S31"/>
    <mergeCell ref="AM34:AQ34"/>
    <mergeCell ref="C36:W36"/>
    <mergeCell ref="AM35:AQ35"/>
    <mergeCell ref="AH34:AL34"/>
    <mergeCell ref="AM36:AQ36"/>
    <mergeCell ref="AM71:AQ71"/>
    <mergeCell ref="AH71:AL71"/>
    <mergeCell ref="X71:AB71"/>
    <mergeCell ref="CX17:DB17"/>
    <mergeCell ref="Y19:AC19"/>
    <mergeCell ref="CX16:DB16"/>
    <mergeCell ref="R17:V17"/>
    <mergeCell ref="AB17:AF17"/>
    <mergeCell ref="AL17:AP17"/>
    <mergeCell ref="BA17:BE17"/>
    <mergeCell ref="AV16:AZ16"/>
    <mergeCell ref="BA16:BE16"/>
    <mergeCell ref="BU16:BY16"/>
    <mergeCell ref="AQ17:AU17"/>
    <mergeCell ref="AV17:AZ17"/>
    <mergeCell ref="BF17:BJ17"/>
    <mergeCell ref="CS16:CW16"/>
    <mergeCell ref="R16:V16"/>
    <mergeCell ref="AB16:AF16"/>
    <mergeCell ref="AL16:AP16"/>
    <mergeCell ref="AQ16:AU16"/>
    <mergeCell ref="BF16:BJ16"/>
    <mergeCell ref="W16:AA16"/>
    <mergeCell ref="W17:AA17"/>
    <mergeCell ref="AG16:AK16"/>
    <mergeCell ref="O4:S4"/>
    <mergeCell ref="AI4:AM4"/>
    <mergeCell ref="C2:BY2"/>
    <mergeCell ref="C29:BY29"/>
    <mergeCell ref="C13:AE13"/>
    <mergeCell ref="AF13:AJ13"/>
    <mergeCell ref="CS17:CW17"/>
    <mergeCell ref="BU17:BY17"/>
    <mergeCell ref="C12:AE12"/>
    <mergeCell ref="AF12:AJ12"/>
    <mergeCell ref="C16:Q17"/>
    <mergeCell ref="AG17:AK17"/>
    <mergeCell ref="BK17:BO17"/>
    <mergeCell ref="BK16:BO16"/>
    <mergeCell ref="BP16:BT16"/>
    <mergeCell ref="BP17:BT17"/>
    <mergeCell ref="AF7:AJ7"/>
    <mergeCell ref="BZ16:CB16"/>
    <mergeCell ref="BZ17:CB17"/>
    <mergeCell ref="C14:AE14"/>
    <mergeCell ref="AF14:AJ14"/>
    <mergeCell ref="C6:AE6"/>
    <mergeCell ref="AF6:AJ6"/>
    <mergeCell ref="C7:AE7"/>
    <mergeCell ref="C52:W52"/>
    <mergeCell ref="X52:AB52"/>
    <mergeCell ref="AH52:AL52"/>
    <mergeCell ref="AM52:AQ52"/>
    <mergeCell ref="C53:W53"/>
    <mergeCell ref="X53:AB53"/>
    <mergeCell ref="AH53:AL53"/>
    <mergeCell ref="AM53:AQ53"/>
    <mergeCell ref="C54:W54"/>
    <mergeCell ref="X54:AB54"/>
    <mergeCell ref="AH54:AL54"/>
    <mergeCell ref="AM54:AQ54"/>
    <mergeCell ref="AC54:AG54"/>
    <mergeCell ref="C55:W55"/>
    <mergeCell ref="X55:AB55"/>
    <mergeCell ref="AH55:AL55"/>
    <mergeCell ref="AM55:AQ55"/>
    <mergeCell ref="C56:W56"/>
    <mergeCell ref="X56:AB56"/>
    <mergeCell ref="AH56:AL56"/>
    <mergeCell ref="AM56:AQ56"/>
    <mergeCell ref="C57:W57"/>
    <mergeCell ref="X57:AB57"/>
    <mergeCell ref="AH57:AL57"/>
    <mergeCell ref="AM57:AQ57"/>
    <mergeCell ref="AC55:AG55"/>
    <mergeCell ref="AC56:AG56"/>
    <mergeCell ref="AC57:AG57"/>
    <mergeCell ref="C58:W58"/>
    <mergeCell ref="X58:AB58"/>
    <mergeCell ref="AH58:AL58"/>
    <mergeCell ref="AM58:AQ58"/>
    <mergeCell ref="C59:W59"/>
    <mergeCell ref="X59:AB59"/>
    <mergeCell ref="AH59:AL59"/>
    <mergeCell ref="AM59:AQ59"/>
    <mergeCell ref="C60:W60"/>
    <mergeCell ref="X60:AB60"/>
    <mergeCell ref="AH60:AL60"/>
    <mergeCell ref="AM60:AQ60"/>
    <mergeCell ref="AC58:AG58"/>
    <mergeCell ref="AC59:AG59"/>
    <mergeCell ref="AC60:AG60"/>
    <mergeCell ref="C61:W61"/>
    <mergeCell ref="X61:AB61"/>
    <mergeCell ref="AH61:AL61"/>
    <mergeCell ref="AM61:AQ61"/>
    <mergeCell ref="C64:W64"/>
    <mergeCell ref="X64:AB64"/>
    <mergeCell ref="AH64:AL64"/>
    <mergeCell ref="AM64:AQ64"/>
    <mergeCell ref="C65:W65"/>
    <mergeCell ref="X65:AB65"/>
    <mergeCell ref="AH65:AL65"/>
    <mergeCell ref="AM65:AQ65"/>
    <mergeCell ref="C62:W62"/>
    <mergeCell ref="X62:AB62"/>
    <mergeCell ref="AH62:AL62"/>
    <mergeCell ref="AM62:AQ62"/>
    <mergeCell ref="C63:W63"/>
    <mergeCell ref="X63:AB63"/>
    <mergeCell ref="AH63:AL63"/>
    <mergeCell ref="AM63:AQ63"/>
    <mergeCell ref="AC61:AG61"/>
    <mergeCell ref="AC62:AG62"/>
    <mergeCell ref="AC63:AG63"/>
    <mergeCell ref="AC64:AG64"/>
    <mergeCell ref="AC45:AG45"/>
    <mergeCell ref="AC33:AG33"/>
    <mergeCell ref="AC47:AG47"/>
    <mergeCell ref="AC48:AG48"/>
    <mergeCell ref="AC49:AG49"/>
    <mergeCell ref="AC50:AG50"/>
    <mergeCell ref="AC51:AG51"/>
    <mergeCell ref="AC52:AG52"/>
    <mergeCell ref="AC53:AG53"/>
    <mergeCell ref="AH78:AL78"/>
    <mergeCell ref="AM78:AQ78"/>
    <mergeCell ref="AC65:AG65"/>
    <mergeCell ref="AC66:AG66"/>
    <mergeCell ref="AC67:AG67"/>
    <mergeCell ref="AC69:AG69"/>
    <mergeCell ref="AC70:AG70"/>
    <mergeCell ref="AC71:AG71"/>
    <mergeCell ref="AC72:AG72"/>
    <mergeCell ref="AC73:AG73"/>
    <mergeCell ref="AC74:AG74"/>
    <mergeCell ref="AM74:AQ74"/>
    <mergeCell ref="AH74:AL74"/>
    <mergeCell ref="AH75:AL75"/>
    <mergeCell ref="AM75:AQ75"/>
    <mergeCell ref="X76:AB76"/>
    <mergeCell ref="AC76:AG76"/>
    <mergeCell ref="AH76:AL76"/>
    <mergeCell ref="AM76:AQ76"/>
    <mergeCell ref="X77:AB77"/>
    <mergeCell ref="AC77:AG77"/>
    <mergeCell ref="AH77:AL77"/>
    <mergeCell ref="AM77:AQ77"/>
    <mergeCell ref="C75:W75"/>
    <mergeCell ref="C76:W76"/>
    <mergeCell ref="C77:W77"/>
    <mergeCell ref="C78:W78"/>
    <mergeCell ref="C79:W79"/>
    <mergeCell ref="C80:W80"/>
    <mergeCell ref="C81:W81"/>
    <mergeCell ref="X75:AB75"/>
    <mergeCell ref="AC75:AG75"/>
    <mergeCell ref="X78:AB78"/>
    <mergeCell ref="AC78:AG78"/>
    <mergeCell ref="C82:W82"/>
    <mergeCell ref="X82:AB82"/>
    <mergeCell ref="AC82:AG82"/>
    <mergeCell ref="AH82:AL82"/>
    <mergeCell ref="AM82:AQ82"/>
    <mergeCell ref="X79:AB79"/>
    <mergeCell ref="AC79:AG79"/>
    <mergeCell ref="AH79:AL79"/>
    <mergeCell ref="AM79:AQ79"/>
    <mergeCell ref="X80:AB80"/>
    <mergeCell ref="AC80:AG80"/>
    <mergeCell ref="AH80:AL80"/>
    <mergeCell ref="AM80:AQ80"/>
    <mergeCell ref="X81:AB81"/>
    <mergeCell ref="AC81:AG81"/>
    <mergeCell ref="AH81:AL81"/>
    <mergeCell ref="AM81:AQ81"/>
  </mergeCells>
  <phoneticPr fontId="9" type="noConversion"/>
  <conditionalFormatting sqref="CO16:CO30">
    <cfRule type="expression" dxfId="0" priority="1" stopIfTrue="1">
      <formula>IF(#REF!&gt;#REF!,TRUE,FALSE)</formula>
    </cfRule>
  </conditionalFormatting>
  <dataValidations count="2">
    <dataValidation type="whole" allowBlank="1" showInputMessage="1" showErrorMessage="1" sqref="X48:X67 X70:X82 X34:X45">
      <formula1>1</formula1>
      <formula2>100</formula2>
    </dataValidation>
    <dataValidation type="list" allowBlank="1" showInputMessage="1" showErrorMessage="1" sqref="C7:AE15">
      <formula1>ListaArmas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Ficha!$DW$88:$DW$93</xm:f>
          </x14:formula1>
          <xm:sqref>C20:X20</xm:sqref>
        </x14:dataValidation>
        <x14:dataValidation type="list" allowBlank="1" showInputMessage="1" showErrorMessage="1">
          <x14:formula1>
            <xm:f>Ficha!$DW$97:$DW$98</xm:f>
          </x14:formula1>
          <xm:sqref>C22:X22</xm:sqref>
        </x14:dataValidation>
        <x14:dataValidation type="list" allowBlank="1" showInputMessage="1" showErrorMessage="1">
          <x14:formula1>
            <xm:f>Ficha!$DW$94:$DW$96</xm:f>
          </x14:formula1>
          <xm:sqref>C21:X21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N206"/>
  <sheetViews>
    <sheetView zoomScale="115" zoomScaleNormal="115" workbookViewId="0">
      <selection activeCell="AK7" sqref="AK7:AO7"/>
    </sheetView>
  </sheetViews>
  <sheetFormatPr defaultColWidth="0.77734375" defaultRowHeight="10.199999999999999" x14ac:dyDescent="0.2"/>
  <cols>
    <col min="1" max="1" width="1.77734375" style="10" customWidth="1"/>
    <col min="2" max="2" width="1.21875" style="10" hidden="1" customWidth="1"/>
    <col min="3" max="3" width="2.77734375" style="10" customWidth="1"/>
    <col min="4" max="21" width="0.77734375" style="10" customWidth="1"/>
    <col min="22" max="22" width="4.21875" style="10" customWidth="1"/>
    <col min="23" max="29" width="0.77734375" style="10" customWidth="1"/>
    <col min="30" max="30" width="1" style="10" customWidth="1"/>
    <col min="31" max="37" width="0.77734375" style="10" customWidth="1"/>
    <col min="38" max="38" width="1.21875" style="10" customWidth="1"/>
    <col min="39" max="41" width="0.77734375" style="10" customWidth="1"/>
    <col min="42" max="42" width="2.21875" style="10" customWidth="1"/>
    <col min="43" max="45" width="0.77734375" style="10" customWidth="1"/>
    <col min="46" max="46" width="1.77734375" style="10" customWidth="1"/>
    <col min="47" max="47" width="0.77734375" style="10" customWidth="1"/>
    <col min="48" max="48" width="1.21875" style="10" customWidth="1"/>
    <col min="49" max="51" width="0.77734375" style="10" customWidth="1"/>
    <col min="52" max="53" width="1.5546875" style="10" customWidth="1"/>
    <col min="54" max="54" width="4.21875" style="10" hidden="1" customWidth="1"/>
    <col min="55" max="58" width="1.5546875" style="10" hidden="1" customWidth="1"/>
    <col min="59" max="94" width="0.77734375" style="10" hidden="1" customWidth="1"/>
    <col min="95" max="95" width="13.44140625" style="12" hidden="1" customWidth="1"/>
    <col min="96" max="97" width="12.5546875" style="10" hidden="1" customWidth="1"/>
    <col min="98" max="98" width="8.77734375" style="10" hidden="1" customWidth="1"/>
    <col min="99" max="99" width="20.44140625" style="10" hidden="1" customWidth="1"/>
    <col min="100" max="100" width="9.77734375" style="10" hidden="1" customWidth="1"/>
    <col min="101" max="101" width="3.77734375" style="10" hidden="1" customWidth="1"/>
    <col min="102" max="102" width="23.21875" style="10" hidden="1" customWidth="1"/>
    <col min="103" max="103" width="5.77734375" style="10" hidden="1" customWidth="1"/>
    <col min="104" max="104" width="5.21875" style="10" hidden="1" customWidth="1"/>
    <col min="105" max="105" width="19.77734375" style="10" hidden="1" customWidth="1"/>
    <col min="106" max="106" width="2.77734375" style="10" hidden="1" customWidth="1"/>
    <col min="107" max="107" width="8.77734375" style="10" hidden="1" customWidth="1"/>
    <col min="108" max="108" width="22.77734375" style="10" hidden="1" customWidth="1"/>
    <col min="109" max="109" width="2.77734375" style="10" hidden="1" customWidth="1"/>
    <col min="110" max="110" width="8.77734375" style="10" hidden="1" customWidth="1"/>
    <col min="111" max="111" width="19.77734375" style="10" hidden="1" customWidth="1"/>
    <col min="112" max="112" width="2.77734375" style="10" hidden="1" customWidth="1"/>
    <col min="113" max="113" width="8.77734375" style="10" hidden="1" customWidth="1"/>
    <col min="114" max="114" width="25.5546875" style="10" hidden="1" customWidth="1"/>
    <col min="115" max="115" width="2" style="10" hidden="1" customWidth="1"/>
    <col min="116" max="116" width="8.77734375" style="10" hidden="1" customWidth="1"/>
    <col min="117" max="117" width="17.21875" style="10" hidden="1" customWidth="1"/>
    <col min="118" max="118" width="3.77734375" style="10" hidden="1" customWidth="1"/>
    <col min="119" max="119" width="8.77734375" style="10" hidden="1" customWidth="1"/>
    <col min="120" max="120" width="23.5546875" style="10" hidden="1" customWidth="1"/>
    <col min="121" max="121" width="3.77734375" style="10" hidden="1" customWidth="1"/>
    <col min="122" max="122" width="8.77734375" style="10" hidden="1" customWidth="1"/>
    <col min="123" max="123" width="23.5546875" style="10" hidden="1" customWidth="1"/>
    <col min="124" max="124" width="3.77734375" style="10" hidden="1" customWidth="1"/>
    <col min="125" max="125" width="8.77734375" style="10" hidden="1" customWidth="1"/>
    <col min="126" max="126" width="24" style="10" hidden="1" customWidth="1"/>
    <col min="127" max="127" width="3.77734375" style="10" hidden="1" customWidth="1"/>
    <col min="128" max="128" width="8.77734375" style="10" hidden="1" customWidth="1"/>
    <col min="129" max="129" width="18.21875" style="10" hidden="1" customWidth="1"/>
    <col min="130" max="130" width="4" style="10" hidden="1" customWidth="1"/>
    <col min="131" max="131" width="8.21875" style="10" hidden="1" customWidth="1"/>
    <col min="132" max="132" width="22.77734375" style="10" hidden="1" customWidth="1"/>
    <col min="133" max="133" width="3.5546875" style="10" hidden="1" customWidth="1"/>
    <col min="134" max="134" width="7.21875" style="10" hidden="1" customWidth="1"/>
    <col min="135" max="135" width="17.77734375" style="10" hidden="1" customWidth="1"/>
    <col min="136" max="137" width="4.21875" style="10" hidden="1" customWidth="1"/>
    <col min="138" max="138" width="18.77734375" style="10" hidden="1" customWidth="1"/>
    <col min="139" max="140" width="4.77734375" style="10" hidden="1" customWidth="1"/>
    <col min="141" max="141" width="17.21875" style="10" hidden="1" customWidth="1"/>
    <col min="142" max="143" width="5.21875" style="10" hidden="1" customWidth="1"/>
    <col min="144" max="144" width="18.77734375" style="10" hidden="1" customWidth="1"/>
    <col min="145" max="145" width="3.44140625" style="10" hidden="1" customWidth="1"/>
    <col min="146" max="146" width="1.77734375" style="10" hidden="1" customWidth="1"/>
    <col min="147" max="147" width="22.77734375" style="10" hidden="1" customWidth="1"/>
    <col min="148" max="148" width="3.77734375" style="10" hidden="1" customWidth="1"/>
    <col min="149" max="149" width="8.77734375" style="10" hidden="1" customWidth="1"/>
    <col min="150" max="150" width="21.21875" style="10" hidden="1" customWidth="1"/>
    <col min="151" max="151" width="3" style="10" hidden="1" customWidth="1"/>
    <col min="152" max="152" width="8.77734375" style="10" hidden="1" customWidth="1"/>
    <col min="153" max="153" width="21.44140625" style="10" hidden="1" customWidth="1"/>
    <col min="154" max="154" width="3.5546875" style="10" hidden="1" customWidth="1"/>
    <col min="155" max="155" width="8.77734375" style="10" hidden="1" customWidth="1"/>
    <col min="156" max="156" width="15.44140625" style="10" hidden="1" customWidth="1"/>
    <col min="157" max="157" width="3.21875" style="10" hidden="1" customWidth="1"/>
    <col min="158" max="158" width="8.77734375" style="10" hidden="1" customWidth="1"/>
    <col min="159" max="159" width="18.77734375" style="10" hidden="1" customWidth="1"/>
    <col min="160" max="160" width="3.21875" style="10" hidden="1" customWidth="1"/>
    <col min="161" max="161" width="8.77734375" style="10" hidden="1" customWidth="1"/>
    <col min="162" max="162" width="18.21875" style="10" hidden="1" customWidth="1"/>
    <col min="163" max="163" width="3.77734375" style="10" hidden="1" customWidth="1"/>
    <col min="164" max="164" width="8.77734375" style="10" hidden="1" customWidth="1"/>
    <col min="165" max="165" width="17.77734375" style="10" hidden="1" customWidth="1"/>
    <col min="166" max="166" width="3.21875" style="10" hidden="1" customWidth="1"/>
    <col min="167" max="167" width="8.77734375" style="10" hidden="1" customWidth="1"/>
    <col min="168" max="168" width="18.77734375" style="10" hidden="1" customWidth="1"/>
    <col min="169" max="169" width="3.44140625" style="10" hidden="1" customWidth="1"/>
    <col min="170" max="170" width="8.77734375" style="10" hidden="1" customWidth="1"/>
    <col min="171" max="171" width="17.21875" style="10" hidden="1" customWidth="1"/>
    <col min="172" max="172" width="3" style="10" hidden="1" customWidth="1"/>
    <col min="173" max="173" width="8.77734375" style="10" hidden="1" customWidth="1"/>
    <col min="174" max="174" width="19.21875" style="10" hidden="1" customWidth="1"/>
    <col min="175" max="175" width="3.21875" style="10" hidden="1" customWidth="1"/>
    <col min="176" max="176" width="8.77734375" style="10" hidden="1" customWidth="1"/>
    <col min="177" max="177" width="20.77734375" style="10" hidden="1" customWidth="1"/>
    <col min="178" max="178" width="4.77734375" style="10" hidden="1" customWidth="1"/>
    <col min="179" max="179" width="8.77734375" style="10" hidden="1" customWidth="1"/>
    <col min="180" max="180" width="22.77734375" style="10" hidden="1" customWidth="1"/>
    <col min="181" max="181" width="3.77734375" style="10" hidden="1" customWidth="1"/>
    <col min="182" max="182" width="8.77734375" style="10" hidden="1" customWidth="1"/>
    <col min="183" max="183" width="20" style="10" hidden="1" customWidth="1"/>
    <col min="184" max="184" width="4.77734375" style="10" hidden="1" customWidth="1"/>
    <col min="185" max="185" width="8.77734375" style="10" hidden="1" customWidth="1"/>
    <col min="186" max="186" width="22.77734375" style="10" hidden="1" customWidth="1"/>
    <col min="187" max="187" width="3.77734375" style="10" hidden="1" customWidth="1"/>
    <col min="188" max="188" width="8.77734375" style="10" hidden="1" customWidth="1"/>
    <col min="189" max="189" width="20.44140625" style="10" hidden="1" customWidth="1"/>
    <col min="190" max="191" width="8.77734375" style="10" hidden="1" customWidth="1"/>
    <col min="192" max="192" width="26.21875" style="10" hidden="1" customWidth="1"/>
    <col min="193" max="194" width="8.77734375" style="10" hidden="1" customWidth="1"/>
    <col min="195" max="195" width="19.21875" style="10" hidden="1" customWidth="1"/>
    <col min="196" max="196" width="8.77734375" style="10" hidden="1" customWidth="1"/>
    <col min="197" max="217" width="8.77734375" style="10" customWidth="1"/>
    <col min="218" max="241" width="0.77734375" style="10" customWidth="1"/>
    <col min="242" max="16384" width="0.77734375" style="10"/>
  </cols>
  <sheetData>
    <row r="1" spans="2:196" s="12" customFormat="1" ht="13.05" customHeight="1" thickBo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1" t="s">
        <v>403</v>
      </c>
      <c r="CU1" s="13" t="str">
        <f>[0]!Profissao</f>
        <v/>
      </c>
      <c r="CV1" s="14" t="str">
        <f>CU1&amp;"custo"</f>
        <v>custo</v>
      </c>
      <c r="CX1" s="27">
        <f>Características!E13</f>
        <v>0</v>
      </c>
      <c r="CY1" s="28" t="str">
        <f>CX1&amp;"custo"</f>
        <v>0custo</v>
      </c>
      <c r="DA1" s="15" t="s">
        <v>107</v>
      </c>
      <c r="DB1" s="9" t="str">
        <f>DA1&amp;"custo"</f>
        <v>Rastreadorcusto</v>
      </c>
      <c r="DC1" s="9"/>
      <c r="DD1" s="15" t="s">
        <v>422</v>
      </c>
      <c r="DE1" s="9" t="str">
        <f>DD1&amp;"custo"</f>
        <v>(Trilha dos Caçadores)custo</v>
      </c>
      <c r="DF1" s="9"/>
      <c r="DG1" s="15" t="s">
        <v>423</v>
      </c>
      <c r="DH1" s="9" t="str">
        <f>DG1&amp;"custo"</f>
        <v>(Trilha dos Guardiões)custo</v>
      </c>
      <c r="DI1" s="9"/>
      <c r="DJ1" s="15" t="s">
        <v>424</v>
      </c>
      <c r="DK1" s="9" t="str">
        <f>DJ1&amp;"custo"</f>
        <v>(Trilha dos Exploradores)custo</v>
      </c>
      <c r="DL1" s="9"/>
      <c r="DM1" s="15" t="s">
        <v>108</v>
      </c>
      <c r="DN1" s="9" t="str">
        <f>DM1&amp;"custo"</f>
        <v>Bardocusto</v>
      </c>
      <c r="DO1" s="9"/>
      <c r="DP1" s="15" t="s">
        <v>444</v>
      </c>
      <c r="DQ1" s="9" t="str">
        <f>DP1&amp;"custo"</f>
        <v>(Confraria dos Artistas)custo</v>
      </c>
      <c r="DR1" s="9"/>
      <c r="DS1" s="15" t="s">
        <v>445</v>
      </c>
      <c r="DT1" s="9" t="str">
        <f>DS1&amp;"custo"</f>
        <v>(Confraria dos Arautos)custo</v>
      </c>
      <c r="DU1" s="9"/>
      <c r="DV1" s="15" t="s">
        <v>446</v>
      </c>
      <c r="DW1" s="9" t="str">
        <f>DV1&amp;"custo"</f>
        <v>(Confraria dos Eruditos)custo</v>
      </c>
      <c r="DX1" s="9"/>
      <c r="DY1" s="15" t="s">
        <v>105</v>
      </c>
      <c r="DZ1" s="9" t="str">
        <f>DY1&amp;"custo"</f>
        <v>Sacerdotecusto</v>
      </c>
      <c r="EA1" s="9"/>
      <c r="EB1" s="15" t="s">
        <v>173</v>
      </c>
      <c r="EC1" s="9" t="str">
        <f>EB1&amp;"custo"</f>
        <v>(Ordem de Selimon)custo</v>
      </c>
      <c r="ED1" s="9"/>
      <c r="EE1" s="15" t="s">
        <v>168</v>
      </c>
      <c r="EF1" s="9" t="str">
        <f>EE1&amp;"custo"</f>
        <v>(Ordem de Ganis)custo</v>
      </c>
      <c r="EG1" s="9"/>
      <c r="EH1" s="15" t="s">
        <v>166</v>
      </c>
      <c r="EI1" s="9" t="str">
        <f>EH1&amp;"custo"</f>
        <v>(Ordem de Crisagom)custo</v>
      </c>
      <c r="EJ1" s="9"/>
      <c r="EK1" s="15" t="s">
        <v>164</v>
      </c>
      <c r="EL1" s="9" t="str">
        <f>EK1&amp;"custo"</f>
        <v>(Ordem de Cambu)custo</v>
      </c>
      <c r="EM1" s="9"/>
      <c r="EN1" s="15" t="s">
        <v>163</v>
      </c>
      <c r="EO1" s="9" t="str">
        <f>EN1&amp;"custo"</f>
        <v>(Ordem de Blator)custo</v>
      </c>
      <c r="EP1" s="9"/>
      <c r="EQ1" s="15" t="s">
        <v>394</v>
      </c>
      <c r="ER1" s="9" t="str">
        <f>EQ1&amp;"custo"</f>
        <v>(Ordem de Maira mon)custo</v>
      </c>
      <c r="ES1" s="9"/>
      <c r="ET1" s="15" t="s">
        <v>396</v>
      </c>
      <c r="EU1" s="9" t="str">
        <f>ET1&amp;"custo"</f>
        <v>(Ordem de Maira nil)custo</v>
      </c>
      <c r="EV1" s="9"/>
      <c r="EW1" s="15" t="s">
        <v>395</v>
      </c>
      <c r="EX1" s="9" t="str">
        <f>EW1&amp;"custo"</f>
        <v>(Ordem de Maira vet)custo</v>
      </c>
      <c r="EY1" s="9"/>
      <c r="EZ1" s="15" t="s">
        <v>172</v>
      </c>
      <c r="FA1" s="9" t="str">
        <f>EZ1&amp;"custo"</f>
        <v>(Ordem de Plandis)custo</v>
      </c>
      <c r="FB1" s="9"/>
      <c r="FC1" s="15" t="s">
        <v>169</v>
      </c>
      <c r="FD1" s="9" t="str">
        <f>FC1&amp;"custo"</f>
        <v>(Ordem de Lena)custo</v>
      </c>
      <c r="FE1" s="9"/>
      <c r="FF1" s="15" t="s">
        <v>170</v>
      </c>
      <c r="FG1" s="9" t="str">
        <f>FF1&amp;"custo"</f>
        <v>(Ordem de Palier)custo</v>
      </c>
      <c r="FH1" s="9"/>
      <c r="FI1" s="15" t="s">
        <v>167</v>
      </c>
      <c r="FJ1" s="9" t="str">
        <f>FI1&amp;"custo"</f>
        <v>(Ordem de Cruine)custo</v>
      </c>
      <c r="FK1" s="9"/>
      <c r="FL1" s="15" t="s">
        <v>165</v>
      </c>
      <c r="FM1" s="9" t="str">
        <f>FL1&amp;"custo"</f>
        <v>(Ordem de Crezir)custo</v>
      </c>
      <c r="FN1" s="9"/>
      <c r="FO1" s="15" t="s">
        <v>171</v>
      </c>
      <c r="FP1" s="9" t="str">
        <f>FO1&amp;"custo"</f>
        <v>(Ordem de Parom)custo</v>
      </c>
      <c r="FQ1" s="9"/>
      <c r="FR1" s="15" t="s">
        <v>174</v>
      </c>
      <c r="FS1" s="9" t="str">
        <f>FR1&amp;"custo"</f>
        <v>(Ordem de Sevides)custo</v>
      </c>
      <c r="FT1" s="9"/>
      <c r="FU1" s="15" t="s">
        <v>106</v>
      </c>
      <c r="FV1" s="9" t="str">
        <f>FU1&amp;"custo"</f>
        <v>Magocusto</v>
      </c>
      <c r="FW1" s="9"/>
      <c r="FX1" s="15" t="s">
        <v>160</v>
      </c>
      <c r="FY1" s="9" t="str">
        <f>FX1&amp;"custo"</f>
        <v>(Colégio Elemental)custo</v>
      </c>
      <c r="FZ1" s="9"/>
      <c r="GA1" s="15" t="s">
        <v>158</v>
      </c>
      <c r="GB1" s="9" t="str">
        <f>GA1&amp;"custo"</f>
        <v>(Colégio das llusões)custo</v>
      </c>
      <c r="GC1" s="9"/>
      <c r="GD1" s="15" t="s">
        <v>162</v>
      </c>
      <c r="GE1" s="9" t="str">
        <f>GD1&amp;"custo"</f>
        <v>(Colégio Necromântico)custo</v>
      </c>
      <c r="GF1" s="9"/>
      <c r="GG1" s="15" t="s">
        <v>161</v>
      </c>
      <c r="GH1" s="9" t="str">
        <f>GG1&amp;"custo"</f>
        <v>(Colégio Naturalista)custo</v>
      </c>
      <c r="GI1" s="9"/>
      <c r="GJ1" s="15" t="s">
        <v>159</v>
      </c>
      <c r="GK1" s="9" t="str">
        <f>GJ1&amp;"custo"</f>
        <v>(Colégio do Conhecimento)custo</v>
      </c>
      <c r="GL1" s="9"/>
      <c r="GM1" s="15" t="s">
        <v>157</v>
      </c>
      <c r="GN1" s="9" t="str">
        <f>GM1&amp;"custo"</f>
        <v>(Colégio Alquimico)custo</v>
      </c>
    </row>
    <row r="2" spans="2:196" s="12" customFormat="1" ht="13.05" customHeight="1" thickBot="1" x14ac:dyDescent="0.35">
      <c r="B2" s="10"/>
      <c r="C2" s="517" t="s">
        <v>408</v>
      </c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1"/>
      <c r="CU2" s="13"/>
      <c r="CV2" s="14"/>
      <c r="CX2" s="27"/>
      <c r="CY2" s="28"/>
      <c r="DA2" s="15"/>
      <c r="DB2" s="9"/>
      <c r="DC2" s="9"/>
      <c r="DD2" s="15"/>
      <c r="DE2" s="9"/>
      <c r="DF2" s="9"/>
      <c r="DG2" s="15"/>
      <c r="DH2" s="9"/>
      <c r="DI2" s="9"/>
      <c r="DJ2" s="15"/>
      <c r="DK2" s="9"/>
      <c r="DL2" s="9"/>
      <c r="DM2" s="15"/>
      <c r="DN2" s="9"/>
      <c r="DO2" s="9"/>
      <c r="DP2" s="15"/>
      <c r="DQ2" s="9"/>
      <c r="DR2" s="9"/>
      <c r="DS2" s="15"/>
      <c r="DT2" s="9"/>
      <c r="DU2" s="9"/>
      <c r="DV2" s="15"/>
      <c r="DW2" s="9"/>
      <c r="DX2" s="9"/>
      <c r="DY2" s="15"/>
      <c r="DZ2" s="9"/>
      <c r="EA2" s="9"/>
      <c r="EB2" s="15"/>
      <c r="EC2" s="9"/>
      <c r="ED2" s="9"/>
      <c r="EE2" s="15"/>
      <c r="EF2" s="9"/>
      <c r="EG2" s="9"/>
      <c r="EH2" s="15"/>
      <c r="EI2" s="9"/>
      <c r="EJ2" s="9"/>
      <c r="EK2" s="15"/>
      <c r="EL2" s="9"/>
      <c r="EM2" s="9"/>
      <c r="EN2" s="15"/>
      <c r="EO2" s="9"/>
      <c r="EP2" s="9"/>
      <c r="EQ2" s="15"/>
      <c r="ER2" s="9"/>
      <c r="ES2" s="9"/>
      <c r="ET2" s="15"/>
      <c r="EU2" s="9"/>
      <c r="EV2" s="9"/>
      <c r="EW2" s="15"/>
      <c r="EX2" s="9"/>
      <c r="EY2" s="9"/>
      <c r="EZ2" s="15"/>
      <c r="FA2" s="9"/>
      <c r="FB2" s="9"/>
      <c r="FC2" s="15"/>
      <c r="FD2" s="9"/>
      <c r="FE2" s="9"/>
      <c r="FF2" s="15"/>
      <c r="FG2" s="9"/>
      <c r="FH2" s="9"/>
      <c r="FI2" s="15"/>
      <c r="FJ2" s="9"/>
      <c r="FK2" s="9"/>
      <c r="FL2" s="15"/>
      <c r="FM2" s="9"/>
      <c r="FN2" s="9"/>
      <c r="FO2" s="15"/>
      <c r="FP2" s="9"/>
      <c r="FQ2" s="9"/>
      <c r="FR2" s="15"/>
      <c r="FS2" s="9"/>
      <c r="FT2" s="9"/>
      <c r="FU2" s="15"/>
      <c r="FV2" s="9"/>
      <c r="FW2" s="9"/>
      <c r="FX2" s="15"/>
      <c r="FY2" s="9"/>
      <c r="FZ2" s="9"/>
      <c r="GA2" s="15"/>
      <c r="GB2" s="9"/>
      <c r="GC2" s="9"/>
      <c r="GD2" s="15"/>
      <c r="GE2" s="9"/>
      <c r="GF2" s="9"/>
      <c r="GG2" s="15"/>
      <c r="GH2" s="9"/>
      <c r="GI2" s="9"/>
      <c r="GJ2" s="15"/>
      <c r="GK2" s="9"/>
      <c r="GL2" s="9"/>
      <c r="GM2" s="15"/>
      <c r="GN2" s="9"/>
    </row>
    <row r="3" spans="2:196" s="12" customFormat="1" ht="13.0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1"/>
      <c r="CU3" s="13"/>
      <c r="CV3" s="14"/>
      <c r="CX3" s="27"/>
      <c r="CY3" s="28"/>
      <c r="DA3" s="15"/>
      <c r="DB3" s="9"/>
      <c r="DC3" s="9"/>
      <c r="DD3" s="15"/>
      <c r="DE3" s="9"/>
      <c r="DF3" s="9"/>
      <c r="DG3" s="15"/>
      <c r="DH3" s="9"/>
      <c r="DI3" s="9"/>
      <c r="DJ3" s="15"/>
      <c r="DK3" s="9"/>
      <c r="DL3" s="9"/>
      <c r="DM3" s="15"/>
      <c r="DN3" s="9"/>
      <c r="DO3" s="9"/>
      <c r="DP3" s="15"/>
      <c r="DQ3" s="9"/>
      <c r="DR3" s="9"/>
      <c r="DS3" s="15"/>
      <c r="DT3" s="9"/>
      <c r="DU3" s="9"/>
      <c r="DV3" s="15"/>
      <c r="DW3" s="9"/>
      <c r="DX3" s="9"/>
      <c r="DY3" s="15"/>
      <c r="DZ3" s="9"/>
      <c r="EA3" s="9"/>
      <c r="EB3" s="15"/>
      <c r="EC3" s="9"/>
      <c r="ED3" s="9"/>
      <c r="EE3" s="15"/>
      <c r="EF3" s="9"/>
      <c r="EG3" s="9"/>
      <c r="EH3" s="15"/>
      <c r="EI3" s="9"/>
      <c r="EJ3" s="9"/>
      <c r="EK3" s="15"/>
      <c r="EL3" s="9"/>
      <c r="EM3" s="9"/>
      <c r="EN3" s="15"/>
      <c r="EO3" s="9"/>
      <c r="EP3" s="9"/>
      <c r="EQ3" s="15"/>
      <c r="ER3" s="9"/>
      <c r="ES3" s="9"/>
      <c r="ET3" s="15"/>
      <c r="EU3" s="9"/>
      <c r="EV3" s="9"/>
      <c r="EW3" s="15"/>
      <c r="EX3" s="9"/>
      <c r="EY3" s="9"/>
      <c r="EZ3" s="15"/>
      <c r="FA3" s="9"/>
      <c r="FB3" s="9"/>
      <c r="FC3" s="15"/>
      <c r="FD3" s="9"/>
      <c r="FE3" s="9"/>
      <c r="FF3" s="15"/>
      <c r="FG3" s="9"/>
      <c r="FH3" s="9"/>
      <c r="FI3" s="15"/>
      <c r="FJ3" s="9"/>
      <c r="FK3" s="9"/>
      <c r="FL3" s="15"/>
      <c r="FM3" s="9"/>
      <c r="FN3" s="9"/>
      <c r="FO3" s="15"/>
      <c r="FP3" s="9"/>
      <c r="FQ3" s="9"/>
      <c r="FR3" s="15"/>
      <c r="FS3" s="9"/>
      <c r="FT3" s="9"/>
      <c r="FU3" s="15"/>
      <c r="FV3" s="9"/>
      <c r="FW3" s="9"/>
      <c r="FX3" s="15"/>
      <c r="FY3" s="9"/>
      <c r="FZ3" s="9"/>
      <c r="GA3" s="15"/>
      <c r="GB3" s="9"/>
      <c r="GC3" s="9"/>
      <c r="GD3" s="15"/>
      <c r="GE3" s="9"/>
      <c r="GF3" s="9"/>
      <c r="GG3" s="15"/>
      <c r="GH3" s="9"/>
      <c r="GI3" s="9"/>
      <c r="GJ3" s="15"/>
      <c r="GK3" s="9"/>
      <c r="GL3" s="9"/>
      <c r="GM3" s="15"/>
      <c r="GN3" s="9"/>
    </row>
    <row r="4" spans="2:196" ht="13.05" customHeight="1" thickBot="1" x14ac:dyDescent="0.3">
      <c r="C4" s="15" t="s">
        <v>482</v>
      </c>
      <c r="D4" s="9"/>
      <c r="E4" s="9"/>
      <c r="F4" s="9"/>
      <c r="G4" s="9"/>
      <c r="H4" s="9"/>
      <c r="I4" s="9"/>
      <c r="J4" s="9"/>
      <c r="P4" s="9"/>
      <c r="W4" s="533">
        <f>Ficha!Q75</f>
        <v>0</v>
      </c>
      <c r="X4" s="534"/>
      <c r="Y4" s="534"/>
      <c r="Z4" s="534"/>
      <c r="AA4" s="543"/>
      <c r="AD4" s="33" t="s">
        <v>480</v>
      </c>
      <c r="AE4" s="33"/>
      <c r="AU4" s="533">
        <f>W4-SUM(CQ7:CQ48)</f>
        <v>0</v>
      </c>
      <c r="AV4" s="534"/>
      <c r="AW4" s="534"/>
      <c r="AX4" s="534"/>
      <c r="AY4" s="535"/>
      <c r="BD4" s="16" t="s">
        <v>41</v>
      </c>
      <c r="BM4" s="537">
        <f>Ficha!DG2</f>
        <v>1</v>
      </c>
      <c r="BN4" s="538"/>
      <c r="BO4" s="538"/>
      <c r="BP4" s="538"/>
      <c r="BQ4" s="539"/>
      <c r="BR4" s="9"/>
      <c r="BS4" s="9"/>
      <c r="BT4" s="9"/>
      <c r="CS4" s="17"/>
      <c r="CT4" s="9"/>
      <c r="CU4" s="18" t="e">
        <f>IF(HLOOKUP($CU$1,$DA$1:$GN$32,ROW(),FALSE)="","",HLOOKUP($CU$1,$DA$1:$GN$32,ROW(),FALSE))</f>
        <v>#N/A</v>
      </c>
      <c r="CV4" s="18" t="e">
        <f t="shared" ref="CV4:CV23" si="0">IF(HLOOKUP($CV$1,$DA$1:$GN$32,ROW(),FALSE)="","",HLOOKUP($CV$1,$DA$1:$GN$32,ROW(),FALSE))</f>
        <v>#N/A</v>
      </c>
      <c r="CW4" s="9"/>
      <c r="CX4" s="18" t="e">
        <f t="shared" ref="CX4:CX23" si="1">IF(HLOOKUP($CX$1,$DA$1:$GN$32,ROW(),FALSE)="","",HLOOKUP($CX$1,$DA$1:$GN$32,ROW(),FALSE))</f>
        <v>#N/A</v>
      </c>
      <c r="CY4" s="18" t="e">
        <f t="shared" ref="CY4:CY23" si="2">IF(HLOOKUP($CY$1,$DA$1:$GN$32,ROW(),FALSE)="","",HLOOKUP($CY$1,$DA$1:$GN$32,ROW(),FALSE))</f>
        <v>#N/A</v>
      </c>
      <c r="CZ4" s="9"/>
      <c r="DA4" s="9" t="s">
        <v>203</v>
      </c>
      <c r="DB4" s="9">
        <v>1</v>
      </c>
      <c r="DC4" s="9"/>
      <c r="DD4" s="9" t="s">
        <v>425</v>
      </c>
      <c r="DE4" s="9">
        <v>2</v>
      </c>
      <c r="DF4" s="9"/>
      <c r="DG4" s="9" t="s">
        <v>205</v>
      </c>
      <c r="DH4" s="9">
        <v>2</v>
      </c>
      <c r="DI4" s="9"/>
      <c r="DJ4" s="9" t="s">
        <v>439</v>
      </c>
      <c r="DK4" s="9">
        <v>2</v>
      </c>
      <c r="DL4" s="9"/>
      <c r="DM4" s="32" t="s">
        <v>215</v>
      </c>
      <c r="DN4" s="12">
        <v>3</v>
      </c>
      <c r="DO4" s="9"/>
      <c r="DP4" s="9" t="s">
        <v>447</v>
      </c>
      <c r="DQ4" s="9">
        <v>2</v>
      </c>
      <c r="DR4" s="9"/>
      <c r="DS4" s="9" t="s">
        <v>454</v>
      </c>
      <c r="DT4" s="9">
        <v>2</v>
      </c>
      <c r="DU4" s="9"/>
      <c r="DV4" s="9" t="s">
        <v>462</v>
      </c>
      <c r="DW4" s="9">
        <v>2</v>
      </c>
      <c r="DX4" s="9"/>
      <c r="DY4" s="9" t="s">
        <v>224</v>
      </c>
      <c r="DZ4" s="9">
        <v>3</v>
      </c>
      <c r="EA4" s="9"/>
      <c r="EB4" s="7" t="s">
        <v>235</v>
      </c>
      <c r="EC4" s="8">
        <v>2</v>
      </c>
      <c r="ED4" s="9"/>
      <c r="EE4" s="7" t="s">
        <v>246</v>
      </c>
      <c r="EF4" s="8">
        <v>2</v>
      </c>
      <c r="EG4" s="9"/>
      <c r="EH4" s="7" t="s">
        <v>252</v>
      </c>
      <c r="EI4" s="8">
        <v>2</v>
      </c>
      <c r="EJ4" s="9"/>
      <c r="EK4" s="9" t="s">
        <v>216</v>
      </c>
      <c r="EL4" s="9">
        <v>1</v>
      </c>
      <c r="EM4" s="9"/>
      <c r="EN4" s="9" t="s">
        <v>252</v>
      </c>
      <c r="EO4" s="9">
        <v>2</v>
      </c>
      <c r="EP4" s="9"/>
      <c r="EQ4" s="9" t="s">
        <v>203</v>
      </c>
      <c r="ER4" s="9">
        <v>2</v>
      </c>
      <c r="ES4" s="9"/>
      <c r="ET4" s="9" t="s">
        <v>203</v>
      </c>
      <c r="EU4" s="9">
        <v>2</v>
      </c>
      <c r="EV4" s="9"/>
      <c r="EW4" t="s">
        <v>203</v>
      </c>
      <c r="EX4">
        <v>2</v>
      </c>
      <c r="EY4" s="9"/>
      <c r="EZ4" s="9" t="s">
        <v>268</v>
      </c>
      <c r="FA4" s="9">
        <v>2</v>
      </c>
      <c r="FB4" s="9"/>
      <c r="FC4" s="9" t="s">
        <v>240</v>
      </c>
      <c r="FD4" s="9">
        <v>2</v>
      </c>
      <c r="FE4" s="9"/>
      <c r="FF4" s="7" t="s">
        <v>216</v>
      </c>
      <c r="FG4" s="8">
        <v>1</v>
      </c>
      <c r="FH4" s="9"/>
      <c r="FI4" s="9" t="s">
        <v>285</v>
      </c>
      <c r="FJ4" s="9">
        <v>1</v>
      </c>
      <c r="FK4" s="9"/>
      <c r="FL4" s="9" t="s">
        <v>290</v>
      </c>
      <c r="FM4" s="9">
        <v>3</v>
      </c>
      <c r="FN4" s="9"/>
      <c r="FO4" s="9" t="s">
        <v>216</v>
      </c>
      <c r="FP4" s="9">
        <v>1</v>
      </c>
      <c r="FQ4" s="9"/>
      <c r="FR4" s="7" t="s">
        <v>404</v>
      </c>
      <c r="FS4" s="8">
        <v>2</v>
      </c>
      <c r="FT4" s="9"/>
      <c r="FU4" s="9" t="s">
        <v>215</v>
      </c>
      <c r="FV4" s="9">
        <v>2</v>
      </c>
      <c r="FW4" s="9"/>
      <c r="FX4" s="9" t="s">
        <v>310</v>
      </c>
      <c r="FY4" s="9">
        <v>1</v>
      </c>
      <c r="FZ4" s="9"/>
      <c r="GA4" s="9" t="s">
        <v>215</v>
      </c>
      <c r="GB4" s="9">
        <v>1</v>
      </c>
      <c r="GC4" s="9"/>
      <c r="GD4" s="9" t="s">
        <v>338</v>
      </c>
      <c r="GE4" s="9">
        <v>1</v>
      </c>
      <c r="GF4" s="9"/>
      <c r="GG4" s="9" t="s">
        <v>348</v>
      </c>
      <c r="GH4" s="9">
        <v>1</v>
      </c>
      <c r="GI4" s="9"/>
      <c r="GJ4" s="9" t="s">
        <v>282</v>
      </c>
      <c r="GK4" s="9">
        <v>1</v>
      </c>
      <c r="GL4" s="9"/>
      <c r="GM4" s="9" t="s">
        <v>393</v>
      </c>
      <c r="GN4" s="10">
        <v>1</v>
      </c>
    </row>
    <row r="5" spans="2:196" ht="13.05" customHeight="1" thickBot="1" x14ac:dyDescent="0.3">
      <c r="CQ5" s="12">
        <f>SUM(CQ7:CQ48)</f>
        <v>0</v>
      </c>
      <c r="CS5" s="17"/>
      <c r="CT5" s="9"/>
      <c r="CU5" s="18" t="e">
        <f t="shared" ref="CU5:CU23" si="3">IF(HLOOKUP($CU$1,$DA$1:$GN$32,ROW(),FALSE)="","",HLOOKUP($CU$1,$DA$1:$GN$32,ROW(),FALSE))</f>
        <v>#N/A</v>
      </c>
      <c r="CV5" s="18" t="e">
        <f t="shared" si="0"/>
        <v>#N/A</v>
      </c>
      <c r="CW5" s="9"/>
      <c r="CX5" s="18" t="e">
        <f t="shared" si="1"/>
        <v>#N/A</v>
      </c>
      <c r="CY5" s="18" t="e">
        <f t="shared" si="2"/>
        <v>#N/A</v>
      </c>
      <c r="CZ5" s="9"/>
      <c r="DA5" s="9" t="s">
        <v>0</v>
      </c>
      <c r="DB5" s="9">
        <v>1</v>
      </c>
      <c r="DC5" s="9"/>
      <c r="DD5" s="9" t="s">
        <v>426</v>
      </c>
      <c r="DE5" s="9">
        <v>2</v>
      </c>
      <c r="DF5" s="9"/>
      <c r="DG5" s="9" t="s">
        <v>433</v>
      </c>
      <c r="DH5" s="9">
        <v>2</v>
      </c>
      <c r="DI5" s="9"/>
      <c r="DJ5" s="9" t="s">
        <v>440</v>
      </c>
      <c r="DK5" s="9">
        <v>2</v>
      </c>
      <c r="DL5" s="9"/>
      <c r="DM5" s="32" t="s">
        <v>471</v>
      </c>
      <c r="DN5" s="12">
        <v>2</v>
      </c>
      <c r="DO5" s="9"/>
      <c r="DP5" s="9" t="s">
        <v>448</v>
      </c>
      <c r="DQ5" s="9">
        <v>2</v>
      </c>
      <c r="DR5" s="9"/>
      <c r="DS5" s="9" t="s">
        <v>455</v>
      </c>
      <c r="DT5" s="9">
        <v>3</v>
      </c>
      <c r="DU5" s="9"/>
      <c r="DV5" s="9" t="s">
        <v>61</v>
      </c>
      <c r="DW5" s="9">
        <v>2</v>
      </c>
      <c r="DX5" s="9"/>
      <c r="DY5" s="9" t="s">
        <v>225</v>
      </c>
      <c r="DZ5" s="9">
        <v>2</v>
      </c>
      <c r="EA5" s="9"/>
      <c r="EB5" s="7" t="s">
        <v>253</v>
      </c>
      <c r="EC5" s="8">
        <v>2</v>
      </c>
      <c r="ED5" s="9"/>
      <c r="EE5" s="7" t="s">
        <v>406</v>
      </c>
      <c r="EF5" s="8">
        <v>2</v>
      </c>
      <c r="EG5" s="9"/>
      <c r="EH5" s="7" t="s">
        <v>256</v>
      </c>
      <c r="EI5" s="8">
        <v>1</v>
      </c>
      <c r="EJ5" s="9"/>
      <c r="EK5" s="9" t="s">
        <v>261</v>
      </c>
      <c r="EL5" s="9">
        <v>1</v>
      </c>
      <c r="EM5" s="9"/>
      <c r="EN5" s="9" t="s">
        <v>256</v>
      </c>
      <c r="EO5" s="9">
        <v>1</v>
      </c>
      <c r="EP5" s="9"/>
      <c r="EQ5" s="9" t="s">
        <v>406</v>
      </c>
      <c r="ER5" s="9">
        <v>2</v>
      </c>
      <c r="ES5" s="9"/>
      <c r="ET5" s="9" t="s">
        <v>406</v>
      </c>
      <c r="EU5" s="9">
        <v>2</v>
      </c>
      <c r="EV5" s="9"/>
      <c r="EW5" t="s">
        <v>406</v>
      </c>
      <c r="EX5">
        <v>2</v>
      </c>
      <c r="EY5" s="9"/>
      <c r="EZ5" s="9" t="s">
        <v>269</v>
      </c>
      <c r="FA5" s="9">
        <v>1</v>
      </c>
      <c r="FB5" s="9"/>
      <c r="FC5" s="9" t="s">
        <v>236</v>
      </c>
      <c r="FD5" s="9">
        <v>1</v>
      </c>
      <c r="FE5" s="9"/>
      <c r="FF5" s="7" t="s">
        <v>236</v>
      </c>
      <c r="FG5" s="8">
        <v>1</v>
      </c>
      <c r="FH5" s="9"/>
      <c r="FI5" s="9" t="s">
        <v>252</v>
      </c>
      <c r="FJ5" s="9">
        <v>3</v>
      </c>
      <c r="FK5" s="9"/>
      <c r="FL5" s="9" t="s">
        <v>252</v>
      </c>
      <c r="FM5" s="9">
        <v>2</v>
      </c>
      <c r="FN5" s="9"/>
      <c r="FO5" s="9" t="s">
        <v>261</v>
      </c>
      <c r="FP5" s="9">
        <v>1</v>
      </c>
      <c r="FQ5" s="9"/>
      <c r="FR5" s="7" t="s">
        <v>247</v>
      </c>
      <c r="FS5" s="8">
        <v>1</v>
      </c>
      <c r="FT5" s="9"/>
      <c r="FU5" s="9" t="s">
        <v>216</v>
      </c>
      <c r="FV5" s="9">
        <v>1</v>
      </c>
      <c r="FW5" s="9"/>
      <c r="FX5" s="9" t="s">
        <v>311</v>
      </c>
      <c r="FY5" s="9">
        <v>1</v>
      </c>
      <c r="FZ5" s="9"/>
      <c r="GA5" s="9" t="s">
        <v>324</v>
      </c>
      <c r="GB5" s="9">
        <v>1</v>
      </c>
      <c r="GC5" s="9"/>
      <c r="GD5" s="9" t="s">
        <v>339</v>
      </c>
      <c r="GE5" s="9">
        <v>1</v>
      </c>
      <c r="GF5" s="9"/>
      <c r="GG5" s="9" t="s">
        <v>349</v>
      </c>
      <c r="GH5" s="9">
        <v>1</v>
      </c>
      <c r="GI5" s="9"/>
      <c r="GJ5" s="9" t="s">
        <v>364</v>
      </c>
      <c r="GK5" s="9">
        <v>1</v>
      </c>
      <c r="GL5" s="9"/>
      <c r="GM5" s="9" t="s">
        <v>282</v>
      </c>
      <c r="GN5" s="10">
        <v>1</v>
      </c>
    </row>
    <row r="6" spans="2:196" ht="13.05" customHeight="1" thickBot="1" x14ac:dyDescent="0.3">
      <c r="B6" s="19"/>
      <c r="C6" s="394" t="s">
        <v>398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 t="s">
        <v>19</v>
      </c>
      <c r="AL6" s="395"/>
      <c r="AM6" s="395"/>
      <c r="AN6" s="395"/>
      <c r="AO6" s="395"/>
      <c r="AP6" s="395" t="s">
        <v>114</v>
      </c>
      <c r="AQ6" s="395"/>
      <c r="AR6" s="395"/>
      <c r="AS6" s="395"/>
      <c r="AT6" s="395"/>
      <c r="AU6" s="395" t="s">
        <v>17</v>
      </c>
      <c r="AV6" s="395"/>
      <c r="AW6" s="395"/>
      <c r="AX6" s="395"/>
      <c r="AY6" s="397"/>
      <c r="AZ6" s="12"/>
      <c r="BA6" s="12"/>
      <c r="BB6" s="12"/>
      <c r="BC6" s="542" t="s">
        <v>397</v>
      </c>
      <c r="BD6" s="540"/>
      <c r="BE6" s="540"/>
      <c r="BF6" s="540"/>
      <c r="BG6" s="540"/>
      <c r="BH6" s="540"/>
      <c r="BI6" s="540"/>
      <c r="BJ6" s="540"/>
      <c r="BK6" s="540"/>
      <c r="BL6" s="540"/>
      <c r="BM6" s="540"/>
      <c r="BN6" s="540"/>
      <c r="BO6" s="540"/>
      <c r="BP6" s="540"/>
      <c r="BQ6" s="540"/>
      <c r="BR6" s="540"/>
      <c r="BS6" s="540"/>
      <c r="BT6" s="540"/>
      <c r="BU6" s="540"/>
      <c r="BV6" s="540"/>
      <c r="BW6" s="540"/>
      <c r="BX6" s="540"/>
      <c r="BY6" s="540"/>
      <c r="BZ6" s="540"/>
      <c r="CA6" s="540"/>
      <c r="CB6" s="540"/>
      <c r="CC6" s="540"/>
      <c r="CD6" s="540"/>
      <c r="CE6" s="540"/>
      <c r="CF6" s="540"/>
      <c r="CG6" s="540"/>
      <c r="CH6" s="540"/>
      <c r="CI6" s="540" t="s">
        <v>17</v>
      </c>
      <c r="CJ6" s="540"/>
      <c r="CK6" s="540"/>
      <c r="CL6" s="540"/>
      <c r="CM6" s="541"/>
      <c r="CO6" s="12"/>
      <c r="CP6" s="12"/>
      <c r="CS6" s="20"/>
      <c r="CT6" s="9"/>
      <c r="CU6" s="18" t="e">
        <f t="shared" si="3"/>
        <v>#N/A</v>
      </c>
      <c r="CV6" s="18" t="e">
        <f t="shared" si="0"/>
        <v>#N/A</v>
      </c>
      <c r="CW6" s="9"/>
      <c r="CX6" s="18" t="e">
        <f t="shared" si="1"/>
        <v>#N/A</v>
      </c>
      <c r="CY6" s="18" t="e">
        <f t="shared" si="2"/>
        <v>#N/A</v>
      </c>
      <c r="CZ6" s="9"/>
      <c r="DA6" s="9" t="s">
        <v>204</v>
      </c>
      <c r="DB6" s="9">
        <v>3</v>
      </c>
      <c r="DC6" s="9"/>
      <c r="DD6" s="9" t="s">
        <v>427</v>
      </c>
      <c r="DE6" s="9">
        <v>2</v>
      </c>
      <c r="DF6" s="9"/>
      <c r="DG6" s="9" t="s">
        <v>434</v>
      </c>
      <c r="DH6" s="9">
        <v>2</v>
      </c>
      <c r="DI6" s="9"/>
      <c r="DJ6" s="9" t="s">
        <v>441</v>
      </c>
      <c r="DK6" s="9">
        <v>2</v>
      </c>
      <c r="DL6" s="9"/>
      <c r="DM6" s="32" t="s">
        <v>470</v>
      </c>
      <c r="DN6" s="12">
        <v>1</v>
      </c>
      <c r="DO6" s="9"/>
      <c r="DP6" s="9" t="s">
        <v>449</v>
      </c>
      <c r="DQ6" s="9">
        <v>3</v>
      </c>
      <c r="DR6" s="9"/>
      <c r="DS6" s="9" t="s">
        <v>456</v>
      </c>
      <c r="DT6" s="9">
        <v>1</v>
      </c>
      <c r="DU6" s="9"/>
      <c r="DV6" s="9" t="s">
        <v>463</v>
      </c>
      <c r="DW6" s="9">
        <v>2</v>
      </c>
      <c r="DX6" s="9"/>
      <c r="DY6" s="9" t="s">
        <v>226</v>
      </c>
      <c r="DZ6" s="9">
        <v>1</v>
      </c>
      <c r="EA6" s="9"/>
      <c r="EB6" s="7" t="s">
        <v>240</v>
      </c>
      <c r="EC6" s="8">
        <v>2</v>
      </c>
      <c r="ED6" s="9"/>
      <c r="EE6" s="7" t="s">
        <v>247</v>
      </c>
      <c r="EF6" s="8">
        <v>1</v>
      </c>
      <c r="EG6" s="9"/>
      <c r="EH6" s="7" t="s">
        <v>253</v>
      </c>
      <c r="EI6" s="8">
        <v>1</v>
      </c>
      <c r="EJ6" s="9"/>
      <c r="EK6" s="9" t="s">
        <v>230</v>
      </c>
      <c r="EL6" s="9">
        <v>1</v>
      </c>
      <c r="EM6" s="9"/>
      <c r="EN6" s="9" t="s">
        <v>254</v>
      </c>
      <c r="EO6" s="9">
        <v>2</v>
      </c>
      <c r="EP6" s="9"/>
      <c r="EQ6" s="9" t="s">
        <v>236</v>
      </c>
      <c r="ER6" s="9">
        <v>1</v>
      </c>
      <c r="ES6" s="9"/>
      <c r="ET6" s="9" t="s">
        <v>236</v>
      </c>
      <c r="EU6" s="9">
        <v>1</v>
      </c>
      <c r="EV6" s="9"/>
      <c r="EW6" t="s">
        <v>236</v>
      </c>
      <c r="EX6">
        <v>1</v>
      </c>
      <c r="EY6" s="9"/>
      <c r="EZ6" s="9" t="s">
        <v>270</v>
      </c>
      <c r="FA6" s="9">
        <v>1</v>
      </c>
      <c r="FB6" s="9"/>
      <c r="FC6" s="9" t="s">
        <v>225</v>
      </c>
      <c r="FD6" s="9">
        <v>1</v>
      </c>
      <c r="FE6" s="9"/>
      <c r="FF6" s="7" t="s">
        <v>279</v>
      </c>
      <c r="FG6" s="8">
        <v>3</v>
      </c>
      <c r="FH6" s="9"/>
      <c r="FI6" s="9" t="s">
        <v>240</v>
      </c>
      <c r="FJ6" s="9">
        <v>2</v>
      </c>
      <c r="FK6" s="9"/>
      <c r="FL6" s="9" t="s">
        <v>256</v>
      </c>
      <c r="FM6" s="9">
        <v>1</v>
      </c>
      <c r="FN6" s="9"/>
      <c r="FO6" s="9" t="s">
        <v>293</v>
      </c>
      <c r="FP6" s="9">
        <v>1</v>
      </c>
      <c r="FQ6" s="9"/>
      <c r="FR6" s="7" t="s">
        <v>240</v>
      </c>
      <c r="FS6" s="8">
        <v>2</v>
      </c>
      <c r="FT6" s="9"/>
      <c r="FU6" s="9" t="s">
        <v>298</v>
      </c>
      <c r="FV6" s="9">
        <v>2</v>
      </c>
      <c r="FW6" s="9"/>
      <c r="FX6" s="9" t="s">
        <v>204</v>
      </c>
      <c r="FY6" s="9">
        <v>1</v>
      </c>
      <c r="FZ6" s="9"/>
      <c r="GA6" s="9" t="s">
        <v>325</v>
      </c>
      <c r="GB6" s="9">
        <v>1</v>
      </c>
      <c r="GC6" s="9"/>
      <c r="GD6" s="9" t="s">
        <v>340</v>
      </c>
      <c r="GE6" s="9">
        <v>1</v>
      </c>
      <c r="GF6" s="9"/>
      <c r="GG6" s="9" t="s">
        <v>350</v>
      </c>
      <c r="GH6" s="9">
        <v>1</v>
      </c>
      <c r="GI6" s="9"/>
      <c r="GJ6" s="9" t="s">
        <v>217</v>
      </c>
      <c r="GK6" s="9">
        <v>1</v>
      </c>
      <c r="GL6" s="9"/>
      <c r="GM6" s="9" t="s">
        <v>378</v>
      </c>
      <c r="GN6" s="10">
        <v>2</v>
      </c>
    </row>
    <row r="7" spans="2:196" ht="13.05" customHeight="1" x14ac:dyDescent="0.25">
      <c r="B7" s="19" t="str">
        <f>IF(AK7&gt;0,1,"")</f>
        <v/>
      </c>
      <c r="C7" s="524" t="e">
        <f>CU4</f>
        <v>#N/A</v>
      </c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525"/>
      <c r="AI7" s="525"/>
      <c r="AJ7" s="525"/>
      <c r="AK7" s="523"/>
      <c r="AL7" s="523"/>
      <c r="AM7" s="523"/>
      <c r="AN7" s="523"/>
      <c r="AO7" s="523"/>
      <c r="AP7" s="527" t="e">
        <f>CV4</f>
        <v>#N/A</v>
      </c>
      <c r="AQ7" s="527"/>
      <c r="AR7" s="527"/>
      <c r="AS7" s="527"/>
      <c r="AT7" s="527"/>
      <c r="AU7" s="527" t="str">
        <f>IF(AK7&gt;0,IF(NOT(ISERROR(VLOOKUP(C7,$C$29:$AO$48,35,FALSE))),IF(VLOOKUP(C7,$C$29:$AO$48,35,FALSE)&gt;0,AK7+VLOOKUP(C7,$C$29:$AO$48,35,FALSE),AK7),AK7),"")</f>
        <v/>
      </c>
      <c r="AV7" s="527"/>
      <c r="AW7" s="527"/>
      <c r="AX7" s="527"/>
      <c r="AY7" s="528"/>
      <c r="BB7" s="10">
        <v>1</v>
      </c>
      <c r="BC7" s="532" t="str">
        <f>IF(ISERROR(VLOOKUP(BB7,$B$7:$AY$48,2,FALSE)),"",VLOOKUP(BB7,$B$7:$AY$48,2,FALSE))</f>
        <v/>
      </c>
      <c r="BD7" s="527"/>
      <c r="BE7" s="527"/>
      <c r="BF7" s="527"/>
      <c r="BG7" s="527"/>
      <c r="BH7" s="527"/>
      <c r="BI7" s="527"/>
      <c r="BJ7" s="527"/>
      <c r="BK7" s="527"/>
      <c r="BL7" s="527"/>
      <c r="BM7" s="527"/>
      <c r="BN7" s="527"/>
      <c r="BO7" s="527"/>
      <c r="BP7" s="527"/>
      <c r="BQ7" s="527"/>
      <c r="BR7" s="527"/>
      <c r="BS7" s="527"/>
      <c r="BT7" s="527"/>
      <c r="BU7" s="527"/>
      <c r="BV7" s="527"/>
      <c r="BW7" s="527"/>
      <c r="BX7" s="527"/>
      <c r="BY7" s="527"/>
      <c r="BZ7" s="527"/>
      <c r="CA7" s="527"/>
      <c r="CB7" s="527"/>
      <c r="CC7" s="527"/>
      <c r="CD7" s="527"/>
      <c r="CE7" s="527"/>
      <c r="CF7" s="527"/>
      <c r="CG7" s="527"/>
      <c r="CH7" s="527"/>
      <c r="CI7" s="527" t="str">
        <f t="shared" ref="CI7:CI36" si="4">IF(ISERROR(VLOOKUP($BB7,$B$7:$AY$49,46,FALSE)),"",VLOOKUP($BB7,$B$7:$AY$49,46,FALSE))</f>
        <v/>
      </c>
      <c r="CJ7" s="527"/>
      <c r="CK7" s="527"/>
      <c r="CL7" s="527"/>
      <c r="CM7" s="528"/>
      <c r="CQ7" s="12">
        <f>IF(AK7&gt;0,AK7*AP7,0)</f>
        <v>0</v>
      </c>
      <c r="CT7" s="9"/>
      <c r="CU7" s="18" t="e">
        <f t="shared" si="3"/>
        <v>#N/A</v>
      </c>
      <c r="CV7" s="18" t="e">
        <f t="shared" si="0"/>
        <v>#N/A</v>
      </c>
      <c r="CW7" s="9"/>
      <c r="CX7" s="18" t="e">
        <f t="shared" si="1"/>
        <v>#N/A</v>
      </c>
      <c r="CY7" s="18" t="e">
        <f t="shared" si="2"/>
        <v>#N/A</v>
      </c>
      <c r="CZ7" s="9"/>
      <c r="DA7" s="9" t="s">
        <v>206</v>
      </c>
      <c r="DB7" s="9">
        <v>1</v>
      </c>
      <c r="DC7" s="9"/>
      <c r="DD7" s="9" t="s">
        <v>428</v>
      </c>
      <c r="DE7" s="9">
        <v>1</v>
      </c>
      <c r="DF7" s="9"/>
      <c r="DG7" s="9" t="s">
        <v>435</v>
      </c>
      <c r="DH7" s="9">
        <v>3</v>
      </c>
      <c r="DI7" s="9"/>
      <c r="DJ7" s="9" t="s">
        <v>442</v>
      </c>
      <c r="DK7" s="9">
        <v>3</v>
      </c>
      <c r="DL7" s="9"/>
      <c r="DM7" s="32" t="s">
        <v>259</v>
      </c>
      <c r="DN7" s="12">
        <v>1</v>
      </c>
      <c r="DO7" s="9"/>
      <c r="DP7" s="9" t="s">
        <v>450</v>
      </c>
      <c r="DQ7" s="9">
        <v>2</v>
      </c>
      <c r="DR7" s="9"/>
      <c r="DS7" s="9" t="s">
        <v>457</v>
      </c>
      <c r="DT7" s="9">
        <v>2</v>
      </c>
      <c r="DU7" s="9"/>
      <c r="DV7" s="9" t="s">
        <v>364</v>
      </c>
      <c r="DW7" s="9">
        <v>2</v>
      </c>
      <c r="DX7" s="9"/>
      <c r="DY7" s="9" t="s">
        <v>228</v>
      </c>
      <c r="DZ7" s="9">
        <v>2</v>
      </c>
      <c r="EA7" s="9"/>
      <c r="EB7" s="7" t="s">
        <v>236</v>
      </c>
      <c r="EC7" s="8">
        <v>1</v>
      </c>
      <c r="ED7" s="9"/>
      <c r="EE7" s="7" t="s">
        <v>240</v>
      </c>
      <c r="EF7" s="8">
        <v>2</v>
      </c>
      <c r="EG7" s="9"/>
      <c r="EH7" s="7" t="s">
        <v>254</v>
      </c>
      <c r="EI7" s="8">
        <v>2</v>
      </c>
      <c r="EJ7" s="9"/>
      <c r="EK7" s="9" t="s">
        <v>240</v>
      </c>
      <c r="EL7" s="9">
        <v>2</v>
      </c>
      <c r="EM7" s="9"/>
      <c r="EN7" s="9" t="s">
        <v>240</v>
      </c>
      <c r="EO7" s="9">
        <v>2</v>
      </c>
      <c r="EP7" s="9"/>
      <c r="EQ7" s="9" t="s">
        <v>251</v>
      </c>
      <c r="ER7" s="9">
        <v>2</v>
      </c>
      <c r="ES7" s="9"/>
      <c r="ET7" s="9" t="s">
        <v>251</v>
      </c>
      <c r="EU7" s="9">
        <v>2</v>
      </c>
      <c r="EV7" s="9"/>
      <c r="EW7" t="s">
        <v>251</v>
      </c>
      <c r="EX7">
        <v>2</v>
      </c>
      <c r="EY7" s="9"/>
      <c r="EZ7" s="9" t="s">
        <v>236</v>
      </c>
      <c r="FA7" s="9">
        <v>1</v>
      </c>
      <c r="FB7" s="9"/>
      <c r="FC7" s="9" t="s">
        <v>258</v>
      </c>
      <c r="FD7" s="9">
        <v>2</v>
      </c>
      <c r="FE7" s="9"/>
      <c r="FF7" s="7" t="s">
        <v>218</v>
      </c>
      <c r="FG7" s="8">
        <v>1</v>
      </c>
      <c r="FH7" s="9"/>
      <c r="FI7" s="9" t="s">
        <v>236</v>
      </c>
      <c r="FJ7" s="9">
        <v>2</v>
      </c>
      <c r="FK7" s="9"/>
      <c r="FL7" s="9" t="s">
        <v>254</v>
      </c>
      <c r="FM7" s="9">
        <v>2</v>
      </c>
      <c r="FN7" s="9"/>
      <c r="FO7" s="9" t="s">
        <v>240</v>
      </c>
      <c r="FP7" s="9">
        <v>2</v>
      </c>
      <c r="FQ7" s="9"/>
      <c r="FR7" s="7" t="s">
        <v>236</v>
      </c>
      <c r="FS7" s="8">
        <v>1</v>
      </c>
      <c r="FT7" s="9"/>
      <c r="FU7" s="9" t="s">
        <v>299</v>
      </c>
      <c r="FV7" s="9">
        <v>1</v>
      </c>
      <c r="FW7" s="9"/>
      <c r="FX7" s="9" t="s">
        <v>298</v>
      </c>
      <c r="FY7" s="9">
        <v>1</v>
      </c>
      <c r="FZ7" s="9"/>
      <c r="GA7" s="9" t="s">
        <v>326</v>
      </c>
      <c r="GB7" s="9">
        <v>2</v>
      </c>
      <c r="GC7" s="9"/>
      <c r="GD7" s="9" t="s">
        <v>341</v>
      </c>
      <c r="GE7" s="9">
        <v>1</v>
      </c>
      <c r="GF7" s="9"/>
      <c r="GG7" s="9" t="s">
        <v>351</v>
      </c>
      <c r="GH7" s="9">
        <v>2</v>
      </c>
      <c r="GI7" s="9"/>
      <c r="GJ7" s="9" t="s">
        <v>365</v>
      </c>
      <c r="GK7" s="9">
        <v>2</v>
      </c>
      <c r="GL7" s="9"/>
      <c r="GM7" s="9" t="s">
        <v>379</v>
      </c>
      <c r="GN7" s="10">
        <v>1</v>
      </c>
    </row>
    <row r="8" spans="2:196" ht="13.05" customHeight="1" x14ac:dyDescent="0.25">
      <c r="B8" s="19" t="str">
        <f>IF(AK8&gt;0,COUNT(B7)+1,"")</f>
        <v/>
      </c>
      <c r="C8" s="524" t="e">
        <f t="shared" ref="C8:C26" si="5">CU5</f>
        <v>#N/A</v>
      </c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5"/>
      <c r="AE8" s="525"/>
      <c r="AF8" s="525"/>
      <c r="AG8" s="525"/>
      <c r="AH8" s="525"/>
      <c r="AI8" s="525"/>
      <c r="AJ8" s="525"/>
      <c r="AK8" s="483"/>
      <c r="AL8" s="484"/>
      <c r="AM8" s="484"/>
      <c r="AN8" s="484"/>
      <c r="AO8" s="485"/>
      <c r="AP8" s="527" t="e">
        <f t="shared" ref="AP8:AP26" si="6">CV5</f>
        <v>#N/A</v>
      </c>
      <c r="AQ8" s="527"/>
      <c r="AR8" s="527"/>
      <c r="AS8" s="527"/>
      <c r="AT8" s="527"/>
      <c r="AU8" s="527" t="str">
        <f t="shared" ref="AU8:AU26" si="7">IF(AK8&gt;0,IF(NOT(ISERROR(VLOOKUP(C8,$C$29:$AO$48,35,FALSE))),IF(VLOOKUP(C8,$C$29:$AO$48,35,FALSE)&gt;0,AK8+VLOOKUP(C8,$C$29:$AO$48,35,FALSE),AK8),AK8),"")</f>
        <v/>
      </c>
      <c r="AV8" s="527"/>
      <c r="AW8" s="527"/>
      <c r="AX8" s="527"/>
      <c r="AY8" s="528"/>
      <c r="BB8" s="10">
        <v>2</v>
      </c>
      <c r="BC8" s="532" t="str">
        <f t="shared" ref="BC8:BC22" si="8">IF(ISERROR(VLOOKUP(BB8,$B$7:$AY$48,2,FALSE)),"",VLOOKUP(BB8,$B$7:$AY$48,2,FALSE))</f>
        <v/>
      </c>
      <c r="BD8" s="527"/>
      <c r="BE8" s="527"/>
      <c r="BF8" s="527"/>
      <c r="BG8" s="527"/>
      <c r="BH8" s="527"/>
      <c r="BI8" s="527"/>
      <c r="BJ8" s="527"/>
      <c r="BK8" s="527"/>
      <c r="BL8" s="527"/>
      <c r="BM8" s="527"/>
      <c r="BN8" s="527"/>
      <c r="BO8" s="527"/>
      <c r="BP8" s="527"/>
      <c r="BQ8" s="527"/>
      <c r="BR8" s="527"/>
      <c r="BS8" s="527"/>
      <c r="BT8" s="527"/>
      <c r="BU8" s="527"/>
      <c r="BV8" s="527"/>
      <c r="BW8" s="527"/>
      <c r="BX8" s="527"/>
      <c r="BY8" s="527"/>
      <c r="BZ8" s="527"/>
      <c r="CA8" s="527"/>
      <c r="CB8" s="527"/>
      <c r="CC8" s="527"/>
      <c r="CD8" s="527"/>
      <c r="CE8" s="527"/>
      <c r="CF8" s="527"/>
      <c r="CG8" s="527"/>
      <c r="CH8" s="527"/>
      <c r="CI8" s="527" t="str">
        <f t="shared" si="4"/>
        <v/>
      </c>
      <c r="CJ8" s="527"/>
      <c r="CK8" s="527"/>
      <c r="CL8" s="527"/>
      <c r="CM8" s="528"/>
      <c r="CO8" s="21"/>
      <c r="CP8" s="22"/>
      <c r="CQ8" s="12">
        <f t="shared" ref="CQ8:CQ48" si="9">IF(AK8&gt;0,AK8*AP8,0)</f>
        <v>0</v>
      </c>
      <c r="CT8" s="9"/>
      <c r="CU8" s="18" t="e">
        <f t="shared" si="3"/>
        <v>#N/A</v>
      </c>
      <c r="CV8" s="18" t="e">
        <f t="shared" si="0"/>
        <v>#N/A</v>
      </c>
      <c r="CW8" s="9"/>
      <c r="CX8" s="18" t="e">
        <f t="shared" si="1"/>
        <v>#N/A</v>
      </c>
      <c r="CY8" s="18" t="e">
        <f t="shared" si="2"/>
        <v>#N/A</v>
      </c>
      <c r="CZ8" s="9"/>
      <c r="DA8" s="9" t="s">
        <v>207</v>
      </c>
      <c r="DB8" s="9">
        <v>2</v>
      </c>
      <c r="DC8" s="9"/>
      <c r="DD8" s="9" t="s">
        <v>429</v>
      </c>
      <c r="DE8" s="9">
        <v>2</v>
      </c>
      <c r="DF8" s="9"/>
      <c r="DG8" s="9" t="s">
        <v>436</v>
      </c>
      <c r="DH8" s="9">
        <v>2</v>
      </c>
      <c r="DI8" s="9"/>
      <c r="DJ8" s="9" t="s">
        <v>438</v>
      </c>
      <c r="DK8" s="9">
        <v>2</v>
      </c>
      <c r="DL8" s="9"/>
      <c r="DM8" s="32" t="s">
        <v>472</v>
      </c>
      <c r="DN8" s="12">
        <v>1</v>
      </c>
      <c r="DO8" s="9"/>
      <c r="DP8" s="9" t="s">
        <v>451</v>
      </c>
      <c r="DQ8" s="9">
        <v>2</v>
      </c>
      <c r="DR8" s="9"/>
      <c r="DS8" s="9" t="s">
        <v>458</v>
      </c>
      <c r="DT8" s="9">
        <v>2</v>
      </c>
      <c r="DU8" s="9"/>
      <c r="DV8" s="9" t="s">
        <v>283</v>
      </c>
      <c r="DW8" s="9">
        <v>1</v>
      </c>
      <c r="DX8" s="9"/>
      <c r="DY8" s="9" t="s">
        <v>227</v>
      </c>
      <c r="DZ8" s="9">
        <v>3</v>
      </c>
      <c r="EA8" s="9"/>
      <c r="EB8" s="7" t="s">
        <v>225</v>
      </c>
      <c r="EC8" s="8">
        <v>1</v>
      </c>
      <c r="ED8" s="9"/>
      <c r="EE8" s="7" t="s">
        <v>236</v>
      </c>
      <c r="EF8" s="8">
        <v>1</v>
      </c>
      <c r="EG8" s="9"/>
      <c r="EH8" s="7" t="s">
        <v>257</v>
      </c>
      <c r="EI8" s="8">
        <v>3</v>
      </c>
      <c r="EJ8" s="9"/>
      <c r="EK8" s="9" t="s">
        <v>236</v>
      </c>
      <c r="EL8" s="9">
        <v>1</v>
      </c>
      <c r="EM8" s="9"/>
      <c r="EN8" s="9" t="s">
        <v>263</v>
      </c>
      <c r="EO8" s="9">
        <v>2</v>
      </c>
      <c r="EP8" s="9"/>
      <c r="EQ8" s="9" t="s">
        <v>413</v>
      </c>
      <c r="ER8" s="9">
        <v>1</v>
      </c>
      <c r="ES8" s="9"/>
      <c r="ET8" s="9" t="s">
        <v>207</v>
      </c>
      <c r="EU8" s="9">
        <v>1</v>
      </c>
      <c r="EV8" s="9"/>
      <c r="EW8" t="s">
        <v>377</v>
      </c>
      <c r="EX8">
        <v>1</v>
      </c>
      <c r="EY8" s="9"/>
      <c r="EZ8" s="9" t="s">
        <v>231</v>
      </c>
      <c r="FA8" s="9">
        <v>1</v>
      </c>
      <c r="FB8" s="9"/>
      <c r="FC8" s="9" t="s">
        <v>259</v>
      </c>
      <c r="FD8" s="9">
        <v>1</v>
      </c>
      <c r="FE8" s="9"/>
      <c r="FF8" s="7" t="s">
        <v>280</v>
      </c>
      <c r="FG8" s="8">
        <v>1</v>
      </c>
      <c r="FH8" s="9"/>
      <c r="FI8" s="9" t="s">
        <v>231</v>
      </c>
      <c r="FJ8" s="9">
        <v>1</v>
      </c>
      <c r="FK8" s="9"/>
      <c r="FL8" s="9" t="s">
        <v>240</v>
      </c>
      <c r="FM8" s="9">
        <v>2</v>
      </c>
      <c r="FN8" s="9"/>
      <c r="FO8" s="9" t="s">
        <v>217</v>
      </c>
      <c r="FP8" s="9">
        <v>2</v>
      </c>
      <c r="FQ8" s="9"/>
      <c r="FR8" s="7" t="s">
        <v>225</v>
      </c>
      <c r="FS8" s="8">
        <v>1</v>
      </c>
      <c r="FT8" s="9"/>
      <c r="FU8" s="9" t="s">
        <v>300</v>
      </c>
      <c r="FV8" s="9">
        <v>2</v>
      </c>
      <c r="FW8" s="9"/>
      <c r="FX8" s="9" t="s">
        <v>312</v>
      </c>
      <c r="FY8" s="9">
        <v>1</v>
      </c>
      <c r="FZ8" s="9"/>
      <c r="GA8" s="9" t="s">
        <v>327</v>
      </c>
      <c r="GB8" s="9">
        <v>2</v>
      </c>
      <c r="GC8" s="9"/>
      <c r="GD8" s="9" t="s">
        <v>342</v>
      </c>
      <c r="GE8" s="9">
        <v>1</v>
      </c>
      <c r="GF8" s="9"/>
      <c r="GG8" s="9" t="s">
        <v>352</v>
      </c>
      <c r="GH8" s="9">
        <v>2</v>
      </c>
      <c r="GI8" s="9"/>
      <c r="GJ8" s="9" t="s">
        <v>366</v>
      </c>
      <c r="GK8" s="9">
        <v>1</v>
      </c>
      <c r="GL8" s="9"/>
      <c r="GM8" s="9" t="s">
        <v>380</v>
      </c>
      <c r="GN8" s="10">
        <v>1</v>
      </c>
    </row>
    <row r="9" spans="2:196" ht="13.05" customHeight="1" x14ac:dyDescent="0.25">
      <c r="B9" s="19" t="str">
        <f>IF(AK9&gt;0,COUNT($B$7:B8)+1,"")</f>
        <v/>
      </c>
      <c r="C9" s="524" t="e">
        <f t="shared" si="5"/>
        <v>#N/A</v>
      </c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483"/>
      <c r="AL9" s="484"/>
      <c r="AM9" s="484"/>
      <c r="AN9" s="484"/>
      <c r="AO9" s="485"/>
      <c r="AP9" s="527" t="e">
        <f t="shared" si="6"/>
        <v>#N/A</v>
      </c>
      <c r="AQ9" s="527"/>
      <c r="AR9" s="527"/>
      <c r="AS9" s="527"/>
      <c r="AT9" s="527"/>
      <c r="AU9" s="527" t="str">
        <f t="shared" si="7"/>
        <v/>
      </c>
      <c r="AV9" s="527"/>
      <c r="AW9" s="527"/>
      <c r="AX9" s="527"/>
      <c r="AY9" s="528"/>
      <c r="BB9" s="10">
        <v>3</v>
      </c>
      <c r="BC9" s="532" t="str">
        <f t="shared" si="8"/>
        <v/>
      </c>
      <c r="BD9" s="527"/>
      <c r="BE9" s="527"/>
      <c r="BF9" s="527"/>
      <c r="BG9" s="527"/>
      <c r="BH9" s="527"/>
      <c r="BI9" s="527"/>
      <c r="BJ9" s="527"/>
      <c r="BK9" s="527"/>
      <c r="BL9" s="527"/>
      <c r="BM9" s="527"/>
      <c r="BN9" s="527"/>
      <c r="BO9" s="527"/>
      <c r="BP9" s="527"/>
      <c r="BQ9" s="527"/>
      <c r="BR9" s="527"/>
      <c r="BS9" s="527"/>
      <c r="BT9" s="527"/>
      <c r="BU9" s="527"/>
      <c r="BV9" s="527"/>
      <c r="BW9" s="527"/>
      <c r="BX9" s="527"/>
      <c r="BY9" s="527"/>
      <c r="BZ9" s="527"/>
      <c r="CA9" s="527"/>
      <c r="CB9" s="527"/>
      <c r="CC9" s="527"/>
      <c r="CD9" s="527"/>
      <c r="CE9" s="527"/>
      <c r="CF9" s="527"/>
      <c r="CG9" s="527"/>
      <c r="CH9" s="527"/>
      <c r="CI9" s="527" t="str">
        <f t="shared" si="4"/>
        <v/>
      </c>
      <c r="CJ9" s="527"/>
      <c r="CK9" s="527"/>
      <c r="CL9" s="527"/>
      <c r="CM9" s="528"/>
      <c r="CO9" s="22"/>
      <c r="CP9" s="22"/>
      <c r="CQ9" s="12">
        <f t="shared" si="9"/>
        <v>0</v>
      </c>
      <c r="CT9" s="9"/>
      <c r="CU9" s="18" t="e">
        <f t="shared" si="3"/>
        <v>#N/A</v>
      </c>
      <c r="CV9" s="18" t="e">
        <f t="shared" si="0"/>
        <v>#N/A</v>
      </c>
      <c r="CW9" s="9"/>
      <c r="CX9" s="18" t="e">
        <f t="shared" si="1"/>
        <v>#N/A</v>
      </c>
      <c r="CY9" s="18" t="e">
        <f t="shared" si="2"/>
        <v>#N/A</v>
      </c>
      <c r="CZ9" s="9"/>
      <c r="DA9" s="9" t="s">
        <v>208</v>
      </c>
      <c r="DB9" s="9">
        <v>2</v>
      </c>
      <c r="DC9" s="9"/>
      <c r="DD9" s="9" t="s">
        <v>430</v>
      </c>
      <c r="DE9" s="9">
        <v>3</v>
      </c>
      <c r="DF9" s="9"/>
      <c r="DG9" s="9" t="s">
        <v>437</v>
      </c>
      <c r="DH9" s="9">
        <v>2</v>
      </c>
      <c r="DI9" s="9"/>
      <c r="DJ9" s="9" t="s">
        <v>213</v>
      </c>
      <c r="DK9" s="9">
        <v>1</v>
      </c>
      <c r="DL9" s="9"/>
      <c r="DM9" s="32" t="s">
        <v>218</v>
      </c>
      <c r="DN9" s="12">
        <v>1</v>
      </c>
      <c r="DO9" s="9"/>
      <c r="DP9" s="9" t="s">
        <v>20</v>
      </c>
      <c r="DQ9" s="9">
        <v>1</v>
      </c>
      <c r="DR9" s="9"/>
      <c r="DS9" s="9" t="s">
        <v>459</v>
      </c>
      <c r="DT9" s="9">
        <v>2</v>
      </c>
      <c r="DU9" s="9"/>
      <c r="DV9" s="9" t="s">
        <v>464</v>
      </c>
      <c r="DW9" s="9">
        <v>2</v>
      </c>
      <c r="DX9" s="9"/>
      <c r="DY9" s="9" t="s">
        <v>229</v>
      </c>
      <c r="DZ9" s="9">
        <v>2</v>
      </c>
      <c r="EA9" s="9"/>
      <c r="EB9" s="7" t="s">
        <v>241</v>
      </c>
      <c r="EC9" s="8">
        <v>1</v>
      </c>
      <c r="ED9" s="9"/>
      <c r="EE9" s="7" t="s">
        <v>225</v>
      </c>
      <c r="EF9" s="8">
        <v>1</v>
      </c>
      <c r="EG9" s="9"/>
      <c r="EH9" s="7" t="s">
        <v>240</v>
      </c>
      <c r="EI9" s="8">
        <v>2</v>
      </c>
      <c r="EJ9" s="9"/>
      <c r="EK9" s="9" t="s">
        <v>412</v>
      </c>
      <c r="EL9" s="9">
        <v>2</v>
      </c>
      <c r="EM9" s="9"/>
      <c r="EN9" s="9" t="s">
        <v>231</v>
      </c>
      <c r="EO9" s="9">
        <v>1</v>
      </c>
      <c r="EP9" s="9"/>
      <c r="EQ9" s="9" t="s">
        <v>240</v>
      </c>
      <c r="ER9" s="9">
        <v>2</v>
      </c>
      <c r="ES9" s="9"/>
      <c r="ET9" s="9" t="s">
        <v>240</v>
      </c>
      <c r="EU9" s="9">
        <v>2</v>
      </c>
      <c r="EV9" s="9"/>
      <c r="EW9" t="s">
        <v>240</v>
      </c>
      <c r="EX9">
        <v>2</v>
      </c>
      <c r="EY9" s="9"/>
      <c r="EZ9" s="9" t="s">
        <v>254</v>
      </c>
      <c r="FA9" s="9">
        <v>2</v>
      </c>
      <c r="FB9" s="9"/>
      <c r="FC9" s="9" t="s">
        <v>275</v>
      </c>
      <c r="FD9" s="9">
        <v>1</v>
      </c>
      <c r="FE9" s="9"/>
      <c r="FF9" s="7" t="s">
        <v>281</v>
      </c>
      <c r="FG9" s="8">
        <v>1</v>
      </c>
      <c r="FH9" s="9"/>
      <c r="FI9" s="9" t="s">
        <v>278</v>
      </c>
      <c r="FJ9" s="9">
        <v>1</v>
      </c>
      <c r="FK9" s="9"/>
      <c r="FL9" s="9" t="s">
        <v>231</v>
      </c>
      <c r="FM9" s="9">
        <v>1</v>
      </c>
      <c r="FN9" s="9"/>
      <c r="FO9" s="9" t="s">
        <v>294</v>
      </c>
      <c r="FP9" s="9">
        <v>1</v>
      </c>
      <c r="FQ9" s="9"/>
      <c r="FR9" s="7" t="s">
        <v>405</v>
      </c>
      <c r="FS9" s="8">
        <v>2</v>
      </c>
      <c r="FT9" s="9"/>
      <c r="FU9" s="9" t="s">
        <v>217</v>
      </c>
      <c r="FV9" s="9">
        <v>2</v>
      </c>
      <c r="FW9" s="9"/>
      <c r="FX9" s="9" t="s">
        <v>300</v>
      </c>
      <c r="FY9" s="9">
        <v>1</v>
      </c>
      <c r="FZ9" s="9"/>
      <c r="GA9" s="9" t="s">
        <v>263</v>
      </c>
      <c r="GB9" s="9">
        <v>1</v>
      </c>
      <c r="GC9" s="9"/>
      <c r="GD9" s="9" t="s">
        <v>343</v>
      </c>
      <c r="GE9" s="9">
        <v>1</v>
      </c>
      <c r="GF9" s="9"/>
      <c r="GG9" s="9" t="s">
        <v>353</v>
      </c>
      <c r="GH9" s="9">
        <v>1</v>
      </c>
      <c r="GI9" s="9"/>
      <c r="GJ9" s="9" t="s">
        <v>367</v>
      </c>
      <c r="GK9" s="9">
        <v>1</v>
      </c>
      <c r="GL9" s="9"/>
      <c r="GM9" s="9" t="s">
        <v>381</v>
      </c>
      <c r="GN9" s="10">
        <v>1</v>
      </c>
    </row>
    <row r="10" spans="2:196" ht="13.05" customHeight="1" x14ac:dyDescent="0.25">
      <c r="B10" s="19" t="str">
        <f>IF(AK10&gt;0,COUNT($B$7:B9)+1,"")</f>
        <v/>
      </c>
      <c r="C10" s="524" t="e">
        <f t="shared" si="5"/>
        <v>#N/A</v>
      </c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5"/>
      <c r="AJ10" s="525"/>
      <c r="AK10" s="483"/>
      <c r="AL10" s="484"/>
      <c r="AM10" s="484"/>
      <c r="AN10" s="484"/>
      <c r="AO10" s="485"/>
      <c r="AP10" s="527" t="e">
        <f t="shared" si="6"/>
        <v>#N/A</v>
      </c>
      <c r="AQ10" s="527"/>
      <c r="AR10" s="527"/>
      <c r="AS10" s="527"/>
      <c r="AT10" s="527"/>
      <c r="AU10" s="527" t="str">
        <f t="shared" si="7"/>
        <v/>
      </c>
      <c r="AV10" s="527"/>
      <c r="AW10" s="527"/>
      <c r="AX10" s="527"/>
      <c r="AY10" s="528"/>
      <c r="BB10" s="10">
        <v>4</v>
      </c>
      <c r="BC10" s="532" t="str">
        <f t="shared" si="8"/>
        <v/>
      </c>
      <c r="BD10" s="527"/>
      <c r="BE10" s="527"/>
      <c r="BF10" s="527"/>
      <c r="BG10" s="527"/>
      <c r="BH10" s="527"/>
      <c r="BI10" s="527"/>
      <c r="BJ10" s="527"/>
      <c r="BK10" s="527"/>
      <c r="BL10" s="527"/>
      <c r="BM10" s="527"/>
      <c r="BN10" s="527"/>
      <c r="BO10" s="527"/>
      <c r="BP10" s="527"/>
      <c r="BQ10" s="527"/>
      <c r="BR10" s="527"/>
      <c r="BS10" s="527"/>
      <c r="BT10" s="527"/>
      <c r="BU10" s="527"/>
      <c r="BV10" s="527"/>
      <c r="BW10" s="527"/>
      <c r="BX10" s="527"/>
      <c r="BY10" s="527"/>
      <c r="BZ10" s="527"/>
      <c r="CA10" s="527"/>
      <c r="CB10" s="527"/>
      <c r="CC10" s="527"/>
      <c r="CD10" s="527"/>
      <c r="CE10" s="527"/>
      <c r="CF10" s="527"/>
      <c r="CG10" s="527"/>
      <c r="CH10" s="527"/>
      <c r="CI10" s="527" t="str">
        <f t="shared" si="4"/>
        <v/>
      </c>
      <c r="CJ10" s="527"/>
      <c r="CK10" s="527"/>
      <c r="CL10" s="527"/>
      <c r="CM10" s="528"/>
      <c r="CO10" s="22"/>
      <c r="CP10" s="22"/>
      <c r="CQ10" s="12">
        <f t="shared" si="9"/>
        <v>0</v>
      </c>
      <c r="CT10" s="9"/>
      <c r="CU10" s="18" t="e">
        <f t="shared" si="3"/>
        <v>#N/A</v>
      </c>
      <c r="CV10" s="18" t="e">
        <f t="shared" si="0"/>
        <v>#N/A</v>
      </c>
      <c r="CW10" s="9"/>
      <c r="CX10" s="18" t="e">
        <f t="shared" si="1"/>
        <v>#N/A</v>
      </c>
      <c r="CY10" s="18" t="e">
        <f t="shared" si="2"/>
        <v>#N/A</v>
      </c>
      <c r="CZ10" s="9"/>
      <c r="DA10" s="9" t="s">
        <v>26</v>
      </c>
      <c r="DB10" s="9">
        <v>1</v>
      </c>
      <c r="DC10" s="9"/>
      <c r="DD10" s="9" t="s">
        <v>431</v>
      </c>
      <c r="DE10" s="9">
        <v>2</v>
      </c>
      <c r="DF10" s="9"/>
      <c r="DG10" s="9" t="s">
        <v>438</v>
      </c>
      <c r="DH10" s="9">
        <v>2</v>
      </c>
      <c r="DI10" s="9"/>
      <c r="DJ10" s="9" t="s">
        <v>443</v>
      </c>
      <c r="DK10" s="9">
        <v>2</v>
      </c>
      <c r="DL10" s="9"/>
      <c r="DM10" s="32" t="s">
        <v>219</v>
      </c>
      <c r="DN10" s="12">
        <v>2</v>
      </c>
      <c r="DO10" s="9"/>
      <c r="DP10" s="9" t="s">
        <v>452</v>
      </c>
      <c r="DQ10" s="9">
        <v>2</v>
      </c>
      <c r="DR10" s="9"/>
      <c r="DS10" s="9" t="s">
        <v>460</v>
      </c>
      <c r="DT10" s="9">
        <v>2</v>
      </c>
      <c r="DU10" s="9"/>
      <c r="DV10" s="9" t="s">
        <v>465</v>
      </c>
      <c r="DW10" s="9">
        <v>2</v>
      </c>
      <c r="DX10" s="9"/>
      <c r="DY10" s="9" t="s">
        <v>230</v>
      </c>
      <c r="DZ10" s="9">
        <v>2</v>
      </c>
      <c r="EA10" s="9"/>
      <c r="EB10" s="7" t="s">
        <v>237</v>
      </c>
      <c r="EC10" s="8">
        <v>1</v>
      </c>
      <c r="ED10" s="9"/>
      <c r="EE10" s="7" t="s">
        <v>250</v>
      </c>
      <c r="EF10" s="8">
        <v>1</v>
      </c>
      <c r="EG10" s="9"/>
      <c r="EH10" s="7" t="s">
        <v>231</v>
      </c>
      <c r="EI10" s="8">
        <v>1</v>
      </c>
      <c r="EJ10" s="9"/>
      <c r="EK10" s="9" t="s">
        <v>258</v>
      </c>
      <c r="EL10" s="9">
        <v>2</v>
      </c>
      <c r="EM10" s="9"/>
      <c r="EN10" s="9" t="s">
        <v>342</v>
      </c>
      <c r="EO10" s="9">
        <v>2</v>
      </c>
      <c r="EP10" s="9"/>
      <c r="EQ10" s="9" t="s">
        <v>246</v>
      </c>
      <c r="ER10" s="9">
        <v>2</v>
      </c>
      <c r="ES10" s="9"/>
      <c r="ET10" s="9" t="s">
        <v>246</v>
      </c>
      <c r="EU10" s="9">
        <v>2</v>
      </c>
      <c r="EV10" s="9"/>
      <c r="EW10" t="s">
        <v>246</v>
      </c>
      <c r="EX10">
        <v>2</v>
      </c>
      <c r="EY10" s="9"/>
      <c r="EZ10" s="9" t="s">
        <v>240</v>
      </c>
      <c r="FA10" s="9">
        <v>2</v>
      </c>
      <c r="FB10" s="9"/>
      <c r="FC10" s="9" t="s">
        <v>251</v>
      </c>
      <c r="FD10" s="9">
        <v>2</v>
      </c>
      <c r="FE10" s="9"/>
      <c r="FF10" s="7" t="s">
        <v>240</v>
      </c>
      <c r="FG10" s="8">
        <v>2</v>
      </c>
      <c r="FH10" s="9"/>
      <c r="FI10" s="9" t="s">
        <v>255</v>
      </c>
      <c r="FJ10" s="9">
        <v>2</v>
      </c>
      <c r="FK10" s="9"/>
      <c r="FL10" s="9" t="s">
        <v>342</v>
      </c>
      <c r="FM10" s="9">
        <v>2</v>
      </c>
      <c r="FN10" s="9"/>
      <c r="FO10" s="9" t="s">
        <v>295</v>
      </c>
      <c r="FP10" s="9">
        <v>2</v>
      </c>
      <c r="FQ10" s="9"/>
      <c r="FR10" s="7" t="s">
        <v>251</v>
      </c>
      <c r="FS10" s="8">
        <v>3</v>
      </c>
      <c r="FT10" s="9"/>
      <c r="FU10" s="9" t="s">
        <v>301</v>
      </c>
      <c r="FV10" s="9">
        <v>2</v>
      </c>
      <c r="FW10" s="9"/>
      <c r="FX10" s="9" t="s">
        <v>313</v>
      </c>
      <c r="FY10" s="9">
        <v>2</v>
      </c>
      <c r="FZ10" s="9"/>
      <c r="GA10" s="9" t="s">
        <v>259</v>
      </c>
      <c r="GB10" s="9">
        <v>1</v>
      </c>
      <c r="GC10" s="9"/>
      <c r="GD10" s="9" t="s">
        <v>226</v>
      </c>
      <c r="GE10" s="9">
        <v>1</v>
      </c>
      <c r="GF10" s="9"/>
      <c r="GG10" s="9" t="s">
        <v>247</v>
      </c>
      <c r="GH10" s="9">
        <v>1</v>
      </c>
      <c r="GI10" s="9"/>
      <c r="GJ10" s="9" t="s">
        <v>368</v>
      </c>
      <c r="GK10" s="9">
        <v>1</v>
      </c>
      <c r="GL10" s="9"/>
      <c r="GM10" s="9" t="s">
        <v>382</v>
      </c>
      <c r="GN10" s="10">
        <v>1</v>
      </c>
    </row>
    <row r="11" spans="2:196" ht="13.05" customHeight="1" x14ac:dyDescent="0.25">
      <c r="B11" s="19" t="str">
        <f>IF(AK11&gt;0,COUNT($B$7:B10)+1,"")</f>
        <v/>
      </c>
      <c r="C11" s="524" t="e">
        <f t="shared" si="5"/>
        <v>#N/A</v>
      </c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5"/>
      <c r="AJ11" s="525"/>
      <c r="AK11" s="483"/>
      <c r="AL11" s="484"/>
      <c r="AM11" s="484"/>
      <c r="AN11" s="484"/>
      <c r="AO11" s="485"/>
      <c r="AP11" s="527" t="e">
        <f t="shared" si="6"/>
        <v>#N/A</v>
      </c>
      <c r="AQ11" s="527"/>
      <c r="AR11" s="527"/>
      <c r="AS11" s="527"/>
      <c r="AT11" s="527"/>
      <c r="AU11" s="527" t="str">
        <f t="shared" si="7"/>
        <v/>
      </c>
      <c r="AV11" s="527"/>
      <c r="AW11" s="527"/>
      <c r="AX11" s="527"/>
      <c r="AY11" s="528"/>
      <c r="BB11" s="10">
        <v>5</v>
      </c>
      <c r="BC11" s="532" t="str">
        <f t="shared" si="8"/>
        <v/>
      </c>
      <c r="BD11" s="527"/>
      <c r="BE11" s="527"/>
      <c r="BF11" s="527"/>
      <c r="BG11" s="527"/>
      <c r="BH11" s="527"/>
      <c r="BI11" s="527"/>
      <c r="BJ11" s="527"/>
      <c r="BK11" s="527"/>
      <c r="BL11" s="527"/>
      <c r="BM11" s="527"/>
      <c r="BN11" s="527"/>
      <c r="BO11" s="527"/>
      <c r="BP11" s="527"/>
      <c r="BQ11" s="527"/>
      <c r="BR11" s="527"/>
      <c r="BS11" s="527"/>
      <c r="BT11" s="527"/>
      <c r="BU11" s="527"/>
      <c r="BV11" s="527"/>
      <c r="BW11" s="527"/>
      <c r="BX11" s="527"/>
      <c r="BY11" s="527"/>
      <c r="BZ11" s="527"/>
      <c r="CA11" s="527"/>
      <c r="CB11" s="527"/>
      <c r="CC11" s="527"/>
      <c r="CD11" s="527"/>
      <c r="CE11" s="527"/>
      <c r="CF11" s="527"/>
      <c r="CG11" s="527"/>
      <c r="CH11" s="527"/>
      <c r="CI11" s="527" t="str">
        <f t="shared" si="4"/>
        <v/>
      </c>
      <c r="CJ11" s="527"/>
      <c r="CK11" s="527"/>
      <c r="CL11" s="527"/>
      <c r="CM11" s="528"/>
      <c r="CO11" s="22"/>
      <c r="CP11" s="22"/>
      <c r="CQ11" s="12">
        <f t="shared" si="9"/>
        <v>0</v>
      </c>
      <c r="CT11" s="9"/>
      <c r="CU11" s="18" t="e">
        <f t="shared" si="3"/>
        <v>#N/A</v>
      </c>
      <c r="CV11" s="18" t="e">
        <f t="shared" si="0"/>
        <v>#N/A</v>
      </c>
      <c r="CW11" s="9"/>
      <c r="CX11" s="18" t="e">
        <f t="shared" si="1"/>
        <v>#N/A</v>
      </c>
      <c r="CY11" s="18" t="e">
        <f t="shared" si="2"/>
        <v>#N/A</v>
      </c>
      <c r="CZ11" s="9"/>
      <c r="DA11" s="9" t="s">
        <v>209</v>
      </c>
      <c r="DB11" s="9">
        <v>1</v>
      </c>
      <c r="DC11" s="9"/>
      <c r="DD11" s="9" t="s">
        <v>432</v>
      </c>
      <c r="DE11" s="9">
        <v>2</v>
      </c>
      <c r="DF11" s="9"/>
      <c r="DG11" s="9" t="s">
        <v>213</v>
      </c>
      <c r="DH11" s="9">
        <v>1</v>
      </c>
      <c r="DI11" s="9"/>
      <c r="DJ11" s="9" t="s">
        <v>267</v>
      </c>
      <c r="DK11" s="9">
        <v>2</v>
      </c>
      <c r="DL11" s="9"/>
      <c r="DM11" s="32" t="s">
        <v>220</v>
      </c>
      <c r="DN11" s="12">
        <v>1</v>
      </c>
      <c r="DO11" s="9"/>
      <c r="DP11" s="9" t="s">
        <v>453</v>
      </c>
      <c r="DQ11" s="9">
        <v>2</v>
      </c>
      <c r="DR11" s="9"/>
      <c r="DS11" s="9" t="s">
        <v>461</v>
      </c>
      <c r="DT11" s="9">
        <v>2</v>
      </c>
      <c r="DU11" s="9"/>
      <c r="DV11" s="9" t="s">
        <v>466</v>
      </c>
      <c r="DW11" s="9">
        <v>3</v>
      </c>
      <c r="DX11" s="9"/>
      <c r="DY11" s="9" t="s">
        <v>231</v>
      </c>
      <c r="DZ11" s="9">
        <v>2</v>
      </c>
      <c r="EA11" s="9"/>
      <c r="EB11" s="7" t="s">
        <v>242</v>
      </c>
      <c r="EC11" s="8">
        <v>2</v>
      </c>
      <c r="ED11" s="9"/>
      <c r="EE11" s="7" t="s">
        <v>248</v>
      </c>
      <c r="EF11" s="8">
        <v>2</v>
      </c>
      <c r="EG11" s="9"/>
      <c r="EH11" s="7" t="s">
        <v>255</v>
      </c>
      <c r="EI11" s="8">
        <v>1</v>
      </c>
      <c r="EJ11" s="9"/>
      <c r="EK11" s="9" t="s">
        <v>259</v>
      </c>
      <c r="EL11" s="9">
        <v>1</v>
      </c>
      <c r="EM11" s="9"/>
      <c r="EN11" s="9" t="s">
        <v>255</v>
      </c>
      <c r="EO11" s="9">
        <v>1</v>
      </c>
      <c r="EP11" s="9"/>
      <c r="EQ11" s="9" t="s">
        <v>247</v>
      </c>
      <c r="ER11" s="9">
        <v>1</v>
      </c>
      <c r="ES11" s="9"/>
      <c r="ET11" s="9" t="s">
        <v>247</v>
      </c>
      <c r="EU11" s="9">
        <v>1</v>
      </c>
      <c r="EV11" s="9"/>
      <c r="EW11" t="s">
        <v>247</v>
      </c>
      <c r="EX11">
        <v>1</v>
      </c>
      <c r="EY11" s="9"/>
      <c r="EZ11" s="9" t="s">
        <v>255</v>
      </c>
      <c r="FA11" s="9">
        <v>1</v>
      </c>
      <c r="FB11" s="9"/>
      <c r="FC11" s="9" t="s">
        <v>276</v>
      </c>
      <c r="FD11" s="9">
        <v>2</v>
      </c>
      <c r="FE11" s="9"/>
      <c r="FF11" s="7" t="s">
        <v>282</v>
      </c>
      <c r="FG11" s="8">
        <v>2</v>
      </c>
      <c r="FH11" s="9"/>
      <c r="FI11" s="9" t="s">
        <v>251</v>
      </c>
      <c r="FJ11" s="9">
        <v>2</v>
      </c>
      <c r="FK11" s="9"/>
      <c r="FL11" s="9" t="s">
        <v>255</v>
      </c>
      <c r="FM11" s="9">
        <v>1</v>
      </c>
      <c r="FN11" s="9"/>
      <c r="FO11" s="9" t="s">
        <v>296</v>
      </c>
      <c r="FP11" s="9">
        <v>2</v>
      </c>
      <c r="FQ11" s="9"/>
      <c r="FR11" s="7" t="s">
        <v>232</v>
      </c>
      <c r="FS11" s="8">
        <v>1</v>
      </c>
      <c r="FT11" s="9"/>
      <c r="FU11" s="9" t="s">
        <v>302</v>
      </c>
      <c r="FV11" s="9">
        <v>1</v>
      </c>
      <c r="FW11" s="9"/>
      <c r="FX11" s="9" t="s">
        <v>314</v>
      </c>
      <c r="FY11" s="9">
        <v>1</v>
      </c>
      <c r="FZ11" s="9"/>
      <c r="GA11" s="9" t="s">
        <v>328</v>
      </c>
      <c r="GB11" s="9">
        <v>1</v>
      </c>
      <c r="GC11" s="9"/>
      <c r="GD11" s="9" t="s">
        <v>328</v>
      </c>
      <c r="GE11" s="9">
        <v>1</v>
      </c>
      <c r="GF11" s="9"/>
      <c r="GG11" s="9" t="s">
        <v>354</v>
      </c>
      <c r="GH11" s="9">
        <v>1</v>
      </c>
      <c r="GI11" s="9"/>
      <c r="GJ11" s="9" t="s">
        <v>283</v>
      </c>
      <c r="GK11" s="9">
        <v>1</v>
      </c>
      <c r="GL11" s="9"/>
      <c r="GM11" s="9" t="s">
        <v>383</v>
      </c>
      <c r="GN11" s="10">
        <v>1</v>
      </c>
    </row>
    <row r="12" spans="2:196" ht="13.05" customHeight="1" x14ac:dyDescent="0.25">
      <c r="B12" s="19" t="str">
        <f>IF(AK12&gt;0,COUNT($B$7:B11)+1,"")</f>
        <v/>
      </c>
      <c r="C12" s="524" t="e">
        <f t="shared" si="5"/>
        <v>#N/A</v>
      </c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483"/>
      <c r="AL12" s="484"/>
      <c r="AM12" s="484"/>
      <c r="AN12" s="484"/>
      <c r="AO12" s="485"/>
      <c r="AP12" s="527" t="e">
        <f t="shared" si="6"/>
        <v>#N/A</v>
      </c>
      <c r="AQ12" s="527"/>
      <c r="AR12" s="527"/>
      <c r="AS12" s="527"/>
      <c r="AT12" s="527"/>
      <c r="AU12" s="527" t="str">
        <f t="shared" si="7"/>
        <v/>
      </c>
      <c r="AV12" s="527"/>
      <c r="AW12" s="527"/>
      <c r="AX12" s="527"/>
      <c r="AY12" s="528"/>
      <c r="BB12" s="10">
        <v>6</v>
      </c>
      <c r="BC12" s="532" t="str">
        <f t="shared" si="8"/>
        <v/>
      </c>
      <c r="BD12" s="527"/>
      <c r="BE12" s="527"/>
      <c r="BF12" s="527"/>
      <c r="BG12" s="527"/>
      <c r="BH12" s="527"/>
      <c r="BI12" s="527"/>
      <c r="BJ12" s="527"/>
      <c r="BK12" s="527"/>
      <c r="BL12" s="527"/>
      <c r="BM12" s="527"/>
      <c r="BN12" s="527"/>
      <c r="BO12" s="527"/>
      <c r="BP12" s="527"/>
      <c r="BQ12" s="527"/>
      <c r="BR12" s="527"/>
      <c r="BS12" s="527"/>
      <c r="BT12" s="527"/>
      <c r="BU12" s="527"/>
      <c r="BV12" s="527"/>
      <c r="BW12" s="527"/>
      <c r="BX12" s="527"/>
      <c r="BY12" s="527"/>
      <c r="BZ12" s="527"/>
      <c r="CA12" s="527"/>
      <c r="CB12" s="527"/>
      <c r="CC12" s="527"/>
      <c r="CD12" s="527"/>
      <c r="CE12" s="527"/>
      <c r="CF12" s="527"/>
      <c r="CG12" s="527"/>
      <c r="CH12" s="527"/>
      <c r="CI12" s="527" t="str">
        <f t="shared" si="4"/>
        <v/>
      </c>
      <c r="CJ12" s="527"/>
      <c r="CK12" s="527"/>
      <c r="CL12" s="527"/>
      <c r="CM12" s="528"/>
      <c r="CO12" s="22"/>
      <c r="CP12" s="22"/>
      <c r="CQ12" s="12">
        <f t="shared" si="9"/>
        <v>0</v>
      </c>
      <c r="CT12" s="9"/>
      <c r="CU12" s="18" t="e">
        <f t="shared" si="3"/>
        <v>#N/A</v>
      </c>
      <c r="CV12" s="18" t="e">
        <f t="shared" si="0"/>
        <v>#N/A</v>
      </c>
      <c r="CW12" s="9"/>
      <c r="CX12" s="18" t="e">
        <f t="shared" si="1"/>
        <v>#N/A</v>
      </c>
      <c r="CY12" s="18" t="e">
        <f t="shared" si="2"/>
        <v>#N/A</v>
      </c>
      <c r="CZ12" s="9"/>
      <c r="DA12" s="9" t="s">
        <v>210</v>
      </c>
      <c r="DB12" s="9">
        <v>2</v>
      </c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32" t="s">
        <v>260</v>
      </c>
      <c r="DN12" s="12">
        <v>2</v>
      </c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 t="s">
        <v>232</v>
      </c>
      <c r="DZ12" s="9">
        <v>2</v>
      </c>
      <c r="EA12" s="9"/>
      <c r="EB12" s="7" t="s">
        <v>238</v>
      </c>
      <c r="EC12" s="8">
        <v>1</v>
      </c>
      <c r="ED12" s="9"/>
      <c r="EE12" s="7" t="s">
        <v>251</v>
      </c>
      <c r="EF12" s="8">
        <v>2</v>
      </c>
      <c r="EG12" s="9"/>
      <c r="EH12" s="7" t="s">
        <v>251</v>
      </c>
      <c r="EI12" s="8">
        <v>2</v>
      </c>
      <c r="EJ12" s="9"/>
      <c r="EK12" s="9" t="s">
        <v>251</v>
      </c>
      <c r="EL12" s="9">
        <v>2</v>
      </c>
      <c r="EM12" s="9"/>
      <c r="EN12" s="9" t="s">
        <v>264</v>
      </c>
      <c r="EO12" s="9">
        <v>3</v>
      </c>
      <c r="EP12" s="9"/>
      <c r="EQ12" s="9" t="s">
        <v>225</v>
      </c>
      <c r="ER12" s="9">
        <v>1</v>
      </c>
      <c r="ES12" s="9"/>
      <c r="ET12" s="9" t="s">
        <v>225</v>
      </c>
      <c r="EU12" s="9">
        <v>1</v>
      </c>
      <c r="EV12" s="9"/>
      <c r="EW12" t="s">
        <v>225</v>
      </c>
      <c r="EX12">
        <v>1</v>
      </c>
      <c r="EY12" s="9"/>
      <c r="EZ12" s="9" t="s">
        <v>251</v>
      </c>
      <c r="FA12" s="9">
        <v>2</v>
      </c>
      <c r="FB12" s="9"/>
      <c r="FC12" s="9" t="s">
        <v>274</v>
      </c>
      <c r="FD12" s="9">
        <v>3</v>
      </c>
      <c r="FE12" s="9"/>
      <c r="FF12" s="7" t="s">
        <v>217</v>
      </c>
      <c r="FG12" s="8">
        <v>2</v>
      </c>
      <c r="FH12" s="9"/>
      <c r="FI12" s="9" t="s">
        <v>286</v>
      </c>
      <c r="FJ12" s="9">
        <v>2</v>
      </c>
      <c r="FK12" s="9"/>
      <c r="FL12" s="9" t="s">
        <v>251</v>
      </c>
      <c r="FM12" s="9">
        <v>2</v>
      </c>
      <c r="FN12" s="9"/>
      <c r="FO12" s="9" t="s">
        <v>251</v>
      </c>
      <c r="FP12" s="9">
        <v>2</v>
      </c>
      <c r="FQ12" s="9"/>
      <c r="FR12" s="7" t="s">
        <v>237</v>
      </c>
      <c r="FS12" s="8">
        <v>1</v>
      </c>
      <c r="FT12" s="9"/>
      <c r="FU12" s="9" t="s">
        <v>303</v>
      </c>
      <c r="FV12" s="9">
        <v>1</v>
      </c>
      <c r="FW12" s="9"/>
      <c r="FX12" s="9" t="s">
        <v>315</v>
      </c>
      <c r="FY12" s="9">
        <v>1</v>
      </c>
      <c r="FZ12" s="9"/>
      <c r="GA12" s="9" t="s">
        <v>329</v>
      </c>
      <c r="GB12" s="9">
        <v>1</v>
      </c>
      <c r="GC12" s="9"/>
      <c r="GD12" s="9" t="s">
        <v>232</v>
      </c>
      <c r="GE12" s="9">
        <v>2</v>
      </c>
      <c r="GF12" s="9"/>
      <c r="GG12" s="9" t="s">
        <v>300</v>
      </c>
      <c r="GH12" s="9">
        <v>1</v>
      </c>
      <c r="GI12" s="9"/>
      <c r="GJ12" s="9" t="s">
        <v>369</v>
      </c>
      <c r="GK12" s="9">
        <v>1</v>
      </c>
      <c r="GL12" s="9"/>
      <c r="GM12" s="9" t="s">
        <v>384</v>
      </c>
      <c r="GN12" s="10">
        <v>1</v>
      </c>
    </row>
    <row r="13" spans="2:196" ht="13.05" customHeight="1" x14ac:dyDescent="0.25">
      <c r="B13" s="19" t="str">
        <f>IF(AK13&gt;0,COUNT($B$7:B12)+1,"")</f>
        <v/>
      </c>
      <c r="C13" s="524" t="e">
        <f t="shared" si="5"/>
        <v>#N/A</v>
      </c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5"/>
      <c r="AF13" s="525"/>
      <c r="AG13" s="525"/>
      <c r="AH13" s="525"/>
      <c r="AI13" s="525"/>
      <c r="AJ13" s="525"/>
      <c r="AK13" s="483"/>
      <c r="AL13" s="484"/>
      <c r="AM13" s="484"/>
      <c r="AN13" s="484"/>
      <c r="AO13" s="485"/>
      <c r="AP13" s="527" t="e">
        <f t="shared" si="6"/>
        <v>#N/A</v>
      </c>
      <c r="AQ13" s="527"/>
      <c r="AR13" s="527"/>
      <c r="AS13" s="527"/>
      <c r="AT13" s="527"/>
      <c r="AU13" s="527" t="str">
        <f t="shared" si="7"/>
        <v/>
      </c>
      <c r="AV13" s="527"/>
      <c r="AW13" s="527"/>
      <c r="AX13" s="527"/>
      <c r="AY13" s="528"/>
      <c r="BB13" s="10">
        <v>7</v>
      </c>
      <c r="BC13" s="532" t="str">
        <f t="shared" si="8"/>
        <v/>
      </c>
      <c r="BD13" s="527"/>
      <c r="BE13" s="527"/>
      <c r="BF13" s="527"/>
      <c r="BG13" s="527"/>
      <c r="BH13" s="527"/>
      <c r="BI13" s="527"/>
      <c r="BJ13" s="527"/>
      <c r="BK13" s="527"/>
      <c r="BL13" s="527"/>
      <c r="BM13" s="527"/>
      <c r="BN13" s="527"/>
      <c r="BO13" s="527"/>
      <c r="BP13" s="527"/>
      <c r="BQ13" s="527"/>
      <c r="BR13" s="527"/>
      <c r="BS13" s="527"/>
      <c r="BT13" s="527"/>
      <c r="BU13" s="527"/>
      <c r="BV13" s="527"/>
      <c r="BW13" s="527"/>
      <c r="BX13" s="527"/>
      <c r="BY13" s="527"/>
      <c r="BZ13" s="527"/>
      <c r="CA13" s="527"/>
      <c r="CB13" s="527"/>
      <c r="CC13" s="527"/>
      <c r="CD13" s="527"/>
      <c r="CE13" s="527"/>
      <c r="CF13" s="527"/>
      <c r="CG13" s="527"/>
      <c r="CH13" s="527"/>
      <c r="CI13" s="527" t="str">
        <f t="shared" si="4"/>
        <v/>
      </c>
      <c r="CJ13" s="527"/>
      <c r="CK13" s="527"/>
      <c r="CL13" s="527"/>
      <c r="CM13" s="528"/>
      <c r="CO13" s="22"/>
      <c r="CP13" s="22"/>
      <c r="CQ13" s="12">
        <f t="shared" si="9"/>
        <v>0</v>
      </c>
      <c r="CT13" s="9"/>
      <c r="CU13" s="18" t="e">
        <f t="shared" si="3"/>
        <v>#N/A</v>
      </c>
      <c r="CV13" s="18" t="e">
        <f t="shared" si="0"/>
        <v>#N/A</v>
      </c>
      <c r="CW13" s="9"/>
      <c r="CX13" s="18" t="e">
        <f t="shared" si="1"/>
        <v>#N/A</v>
      </c>
      <c r="CY13" s="18" t="e">
        <f t="shared" si="2"/>
        <v>#N/A</v>
      </c>
      <c r="CZ13" s="9"/>
      <c r="DA13" s="9" t="s">
        <v>211</v>
      </c>
      <c r="DB13" s="9">
        <v>1</v>
      </c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32" t="s">
        <v>5</v>
      </c>
      <c r="DN13" s="12">
        <v>1</v>
      </c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 t="s">
        <v>233</v>
      </c>
      <c r="DZ13" s="9">
        <v>1</v>
      </c>
      <c r="EA13" s="9"/>
      <c r="EB13" s="7" t="s">
        <v>243</v>
      </c>
      <c r="EC13" s="8">
        <v>1</v>
      </c>
      <c r="ED13" s="9"/>
      <c r="EE13" s="7" t="s">
        <v>237</v>
      </c>
      <c r="EF13" s="8">
        <v>1</v>
      </c>
      <c r="EG13" s="9"/>
      <c r="EH13" s="7" t="s">
        <v>409</v>
      </c>
      <c r="EI13" s="8">
        <v>2</v>
      </c>
      <c r="EJ13" s="9"/>
      <c r="EK13" s="9" t="s">
        <v>218</v>
      </c>
      <c r="EL13" s="9">
        <v>1</v>
      </c>
      <c r="EM13" s="9"/>
      <c r="EN13" s="9" t="s">
        <v>251</v>
      </c>
      <c r="EO13" s="9">
        <v>2</v>
      </c>
      <c r="EP13" s="9"/>
      <c r="EQ13" s="9" t="s">
        <v>249</v>
      </c>
      <c r="ER13" s="9">
        <v>3</v>
      </c>
      <c r="ES13" s="9"/>
      <c r="ET13" s="9" t="s">
        <v>249</v>
      </c>
      <c r="EU13" s="9">
        <v>3</v>
      </c>
      <c r="EV13" s="9"/>
      <c r="EW13" t="s">
        <v>249</v>
      </c>
      <c r="EX13">
        <v>3</v>
      </c>
      <c r="EY13" s="9"/>
      <c r="EZ13" s="9" t="s">
        <v>260</v>
      </c>
      <c r="FA13" s="9">
        <v>2</v>
      </c>
      <c r="FB13" s="9"/>
      <c r="FC13" s="9" t="s">
        <v>242</v>
      </c>
      <c r="FD13" s="9">
        <v>2</v>
      </c>
      <c r="FE13" s="9"/>
      <c r="FF13" s="7" t="s">
        <v>251</v>
      </c>
      <c r="FG13" s="8">
        <v>2</v>
      </c>
      <c r="FH13" s="9"/>
      <c r="FI13" s="9" t="s">
        <v>411</v>
      </c>
      <c r="FJ13" s="9">
        <v>1</v>
      </c>
      <c r="FK13" s="9"/>
      <c r="FL13" s="9" t="s">
        <v>291</v>
      </c>
      <c r="FM13" s="9">
        <v>1</v>
      </c>
      <c r="FN13" s="9"/>
      <c r="FO13" s="9" t="s">
        <v>297</v>
      </c>
      <c r="FP13" s="9">
        <v>3</v>
      </c>
      <c r="FQ13" s="9"/>
      <c r="FR13" s="7" t="s">
        <v>242</v>
      </c>
      <c r="FS13" s="8">
        <v>1</v>
      </c>
      <c r="FT13" s="9"/>
      <c r="FU13" s="9" t="s">
        <v>304</v>
      </c>
      <c r="FV13" s="9">
        <v>2</v>
      </c>
      <c r="FW13" s="9"/>
      <c r="FX13" s="9" t="s">
        <v>316</v>
      </c>
      <c r="FY13" s="9">
        <v>1</v>
      </c>
      <c r="FZ13" s="9"/>
      <c r="GA13" s="9" t="s">
        <v>330</v>
      </c>
      <c r="GB13" s="9">
        <v>1</v>
      </c>
      <c r="GC13" s="9"/>
      <c r="GD13" s="9" t="s">
        <v>331</v>
      </c>
      <c r="GE13" s="9">
        <v>1</v>
      </c>
      <c r="GF13" s="9"/>
      <c r="GG13" s="9" t="s">
        <v>355</v>
      </c>
      <c r="GH13" s="9">
        <v>1</v>
      </c>
      <c r="GI13" s="9"/>
      <c r="GJ13" s="9" t="s">
        <v>220</v>
      </c>
      <c r="GK13" s="9">
        <v>1</v>
      </c>
      <c r="GL13" s="9"/>
      <c r="GM13" s="9" t="s">
        <v>366</v>
      </c>
      <c r="GN13" s="10">
        <v>1</v>
      </c>
    </row>
    <row r="14" spans="2:196" ht="13.05" customHeight="1" x14ac:dyDescent="0.25">
      <c r="B14" s="19" t="str">
        <f>IF(AK14&gt;0,COUNT($B$7:B13)+1,"")</f>
        <v/>
      </c>
      <c r="C14" s="524" t="e">
        <f t="shared" si="5"/>
        <v>#N/A</v>
      </c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483"/>
      <c r="AL14" s="484"/>
      <c r="AM14" s="484"/>
      <c r="AN14" s="484"/>
      <c r="AO14" s="485"/>
      <c r="AP14" s="527" t="e">
        <f t="shared" si="6"/>
        <v>#N/A</v>
      </c>
      <c r="AQ14" s="527"/>
      <c r="AR14" s="527"/>
      <c r="AS14" s="527"/>
      <c r="AT14" s="527"/>
      <c r="AU14" s="527" t="str">
        <f t="shared" si="7"/>
        <v/>
      </c>
      <c r="AV14" s="527"/>
      <c r="AW14" s="527"/>
      <c r="AX14" s="527"/>
      <c r="AY14" s="528"/>
      <c r="BB14" s="10">
        <v>8</v>
      </c>
      <c r="BC14" s="532" t="str">
        <f>IF(ISERROR(VLOOKUP(BB14,$B$7:$AY$48,2,FALSE)),"",VLOOKUP(BB14,$B$7:$AY$48,2,FALSE))</f>
        <v/>
      </c>
      <c r="BD14" s="527"/>
      <c r="BE14" s="527"/>
      <c r="BF14" s="527"/>
      <c r="BG14" s="527"/>
      <c r="BH14" s="527"/>
      <c r="BI14" s="527"/>
      <c r="BJ14" s="527"/>
      <c r="BK14" s="527"/>
      <c r="BL14" s="527"/>
      <c r="BM14" s="527"/>
      <c r="BN14" s="527"/>
      <c r="BO14" s="527"/>
      <c r="BP14" s="527"/>
      <c r="BQ14" s="527"/>
      <c r="BR14" s="527"/>
      <c r="BS14" s="527"/>
      <c r="BT14" s="527"/>
      <c r="BU14" s="527"/>
      <c r="BV14" s="527"/>
      <c r="BW14" s="527"/>
      <c r="BX14" s="527"/>
      <c r="BY14" s="527"/>
      <c r="BZ14" s="527"/>
      <c r="CA14" s="527"/>
      <c r="CB14" s="527"/>
      <c r="CC14" s="527"/>
      <c r="CD14" s="527"/>
      <c r="CE14" s="527"/>
      <c r="CF14" s="527"/>
      <c r="CG14" s="527"/>
      <c r="CH14" s="527"/>
      <c r="CI14" s="527" t="str">
        <f t="shared" si="4"/>
        <v/>
      </c>
      <c r="CJ14" s="527"/>
      <c r="CK14" s="527"/>
      <c r="CL14" s="527"/>
      <c r="CM14" s="528"/>
      <c r="CO14" s="22"/>
      <c r="CP14" s="22"/>
      <c r="CQ14" s="12">
        <f t="shared" si="9"/>
        <v>0</v>
      </c>
      <c r="CT14" s="9"/>
      <c r="CU14" s="18" t="e">
        <f t="shared" si="3"/>
        <v>#N/A</v>
      </c>
      <c r="CV14" s="18" t="e">
        <f t="shared" si="0"/>
        <v>#N/A</v>
      </c>
      <c r="CW14" s="9"/>
      <c r="CX14" s="18" t="e">
        <f t="shared" si="1"/>
        <v>#N/A</v>
      </c>
      <c r="CY14" s="18" t="e">
        <f t="shared" si="2"/>
        <v>#N/A</v>
      </c>
      <c r="CZ14" s="9"/>
      <c r="DA14" s="9" t="s">
        <v>212</v>
      </c>
      <c r="DB14" s="9">
        <v>2</v>
      </c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32" t="s">
        <v>221</v>
      </c>
      <c r="DN14" s="12">
        <v>2</v>
      </c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 t="s">
        <v>212</v>
      </c>
      <c r="DZ14" s="9">
        <v>1</v>
      </c>
      <c r="EA14" s="9"/>
      <c r="EB14" s="7" t="s">
        <v>281</v>
      </c>
      <c r="EC14" s="8">
        <v>2</v>
      </c>
      <c r="ED14" s="9"/>
      <c r="EE14" s="7" t="s">
        <v>242</v>
      </c>
      <c r="EF14" s="8">
        <v>1</v>
      </c>
      <c r="EG14" s="9"/>
      <c r="EH14" s="7" t="s">
        <v>241</v>
      </c>
      <c r="EI14" s="8">
        <v>2</v>
      </c>
      <c r="EJ14" s="9"/>
      <c r="EK14" s="9" t="s">
        <v>219</v>
      </c>
      <c r="EL14" s="9">
        <v>2</v>
      </c>
      <c r="EM14" s="9"/>
      <c r="EN14" s="9" t="s">
        <v>265</v>
      </c>
      <c r="EO14" s="9">
        <v>1</v>
      </c>
      <c r="EP14" s="9"/>
      <c r="EQ14" s="9" t="s">
        <v>208</v>
      </c>
      <c r="ER14" s="9">
        <v>1</v>
      </c>
      <c r="ES14" s="9"/>
      <c r="ET14" s="9" t="s">
        <v>208</v>
      </c>
      <c r="EU14" s="9">
        <v>1</v>
      </c>
      <c r="EV14" s="9"/>
      <c r="EW14" t="s">
        <v>208</v>
      </c>
      <c r="EX14">
        <v>1</v>
      </c>
      <c r="EY14" s="9"/>
      <c r="EZ14" s="9" t="s">
        <v>271</v>
      </c>
      <c r="FA14" s="9">
        <v>2</v>
      </c>
      <c r="FB14" s="9"/>
      <c r="FC14" s="9" t="s">
        <v>238</v>
      </c>
      <c r="FD14" s="9">
        <v>2</v>
      </c>
      <c r="FE14" s="9"/>
      <c r="FF14" s="7" t="s">
        <v>283</v>
      </c>
      <c r="FG14" s="8">
        <v>2</v>
      </c>
      <c r="FH14" s="9"/>
      <c r="FI14" s="9" t="s">
        <v>287</v>
      </c>
      <c r="FJ14" s="9">
        <v>1</v>
      </c>
      <c r="FK14" s="9"/>
      <c r="FL14" s="9" t="s">
        <v>265</v>
      </c>
      <c r="FM14" s="9">
        <v>1</v>
      </c>
      <c r="FN14" s="9"/>
      <c r="FO14" s="9" t="s">
        <v>243</v>
      </c>
      <c r="FP14" s="9">
        <v>2</v>
      </c>
      <c r="FQ14" s="9"/>
      <c r="FR14" s="7" t="s">
        <v>238</v>
      </c>
      <c r="FS14" s="8">
        <v>2</v>
      </c>
      <c r="FT14" s="9"/>
      <c r="FU14" s="9" t="s">
        <v>227</v>
      </c>
      <c r="FV14" s="9">
        <v>2</v>
      </c>
      <c r="FW14" s="9"/>
      <c r="FX14" s="9" t="s">
        <v>317</v>
      </c>
      <c r="FY14" s="9">
        <v>1</v>
      </c>
      <c r="FZ14" s="9"/>
      <c r="GA14" s="9" t="s">
        <v>301</v>
      </c>
      <c r="GB14" s="9">
        <v>1</v>
      </c>
      <c r="GC14" s="9"/>
      <c r="GD14" s="9" t="s">
        <v>304</v>
      </c>
      <c r="GE14" s="9">
        <v>1</v>
      </c>
      <c r="GF14" s="9"/>
      <c r="GG14" s="9" t="s">
        <v>356</v>
      </c>
      <c r="GH14" s="9">
        <v>1</v>
      </c>
      <c r="GI14" s="9"/>
      <c r="GJ14" s="9" t="s">
        <v>370</v>
      </c>
      <c r="GK14" s="9">
        <v>1</v>
      </c>
      <c r="GL14" s="9"/>
      <c r="GM14" s="9" t="s">
        <v>385</v>
      </c>
      <c r="GN14" s="10">
        <v>1</v>
      </c>
    </row>
    <row r="15" spans="2:196" ht="13.05" customHeight="1" x14ac:dyDescent="0.25">
      <c r="B15" s="19" t="str">
        <f>IF(AK15&gt;0,COUNT($B$7:B14)+1,"")</f>
        <v/>
      </c>
      <c r="C15" s="524" t="e">
        <f t="shared" si="5"/>
        <v>#N/A</v>
      </c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5"/>
      <c r="AJ15" s="525"/>
      <c r="AK15" s="483"/>
      <c r="AL15" s="484"/>
      <c r="AM15" s="484"/>
      <c r="AN15" s="484"/>
      <c r="AO15" s="485"/>
      <c r="AP15" s="527" t="e">
        <f t="shared" si="6"/>
        <v>#N/A</v>
      </c>
      <c r="AQ15" s="527"/>
      <c r="AR15" s="527"/>
      <c r="AS15" s="527"/>
      <c r="AT15" s="527"/>
      <c r="AU15" s="527" t="str">
        <f t="shared" si="7"/>
        <v/>
      </c>
      <c r="AV15" s="527"/>
      <c r="AW15" s="527"/>
      <c r="AX15" s="527"/>
      <c r="AY15" s="528"/>
      <c r="BB15" s="10">
        <v>9</v>
      </c>
      <c r="BC15" s="532" t="str">
        <f t="shared" si="8"/>
        <v/>
      </c>
      <c r="BD15" s="527"/>
      <c r="BE15" s="527"/>
      <c r="BF15" s="527"/>
      <c r="BG15" s="527"/>
      <c r="BH15" s="527"/>
      <c r="BI15" s="527"/>
      <c r="BJ15" s="527"/>
      <c r="BK15" s="527"/>
      <c r="BL15" s="527"/>
      <c r="BM15" s="527"/>
      <c r="BN15" s="527"/>
      <c r="BO15" s="527"/>
      <c r="BP15" s="527"/>
      <c r="BQ15" s="527"/>
      <c r="BR15" s="527"/>
      <c r="BS15" s="527"/>
      <c r="BT15" s="527"/>
      <c r="BU15" s="527"/>
      <c r="BV15" s="527"/>
      <c r="BW15" s="527"/>
      <c r="BX15" s="527"/>
      <c r="BY15" s="527"/>
      <c r="BZ15" s="527"/>
      <c r="CA15" s="527"/>
      <c r="CB15" s="527"/>
      <c r="CC15" s="527"/>
      <c r="CD15" s="527"/>
      <c r="CE15" s="527"/>
      <c r="CF15" s="527"/>
      <c r="CG15" s="527"/>
      <c r="CH15" s="527"/>
      <c r="CI15" s="527" t="str">
        <f t="shared" si="4"/>
        <v/>
      </c>
      <c r="CJ15" s="527"/>
      <c r="CK15" s="527"/>
      <c r="CL15" s="527"/>
      <c r="CM15" s="528"/>
      <c r="CO15" s="22"/>
      <c r="CP15" s="22"/>
      <c r="CQ15" s="12">
        <f t="shared" si="9"/>
        <v>0</v>
      </c>
      <c r="CT15" s="9"/>
      <c r="CU15" s="18" t="e">
        <f t="shared" si="3"/>
        <v>#N/A</v>
      </c>
      <c r="CV15" s="18" t="e">
        <f t="shared" si="0"/>
        <v>#N/A</v>
      </c>
      <c r="CW15" s="9"/>
      <c r="CX15" s="18" t="e">
        <f t="shared" si="1"/>
        <v>#N/A</v>
      </c>
      <c r="CY15" s="18" t="e">
        <f t="shared" si="2"/>
        <v>#N/A</v>
      </c>
      <c r="CZ15" s="9"/>
      <c r="DA15" s="9" t="s">
        <v>214</v>
      </c>
      <c r="DB15" s="9">
        <v>3</v>
      </c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32" t="s">
        <v>473</v>
      </c>
      <c r="DN15" s="12">
        <v>1</v>
      </c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 t="s">
        <v>234</v>
      </c>
      <c r="DZ15" s="9">
        <v>1</v>
      </c>
      <c r="EA15" s="9"/>
      <c r="EB15" s="7" t="s">
        <v>239</v>
      </c>
      <c r="EC15" s="8">
        <v>2</v>
      </c>
      <c r="ED15" s="9"/>
      <c r="EE15" s="7" t="s">
        <v>238</v>
      </c>
      <c r="EF15" s="8">
        <v>2</v>
      </c>
      <c r="EG15" s="9"/>
      <c r="EH15" s="7" t="s">
        <v>249</v>
      </c>
      <c r="EI15" s="8">
        <v>2</v>
      </c>
      <c r="EJ15" s="9"/>
      <c r="EK15" s="9" t="s">
        <v>260</v>
      </c>
      <c r="EL15" s="9">
        <v>2</v>
      </c>
      <c r="EM15" s="9"/>
      <c r="EN15" s="9" t="s">
        <v>249</v>
      </c>
      <c r="EO15" s="9">
        <v>2</v>
      </c>
      <c r="EP15" s="9"/>
      <c r="EQ15" s="9" t="s">
        <v>267</v>
      </c>
      <c r="ER15" s="9">
        <v>2</v>
      </c>
      <c r="ES15" s="9"/>
      <c r="ET15" s="9" t="s">
        <v>267</v>
      </c>
      <c r="EU15" s="9">
        <v>2</v>
      </c>
      <c r="EV15" s="9"/>
      <c r="EW15" t="s">
        <v>267</v>
      </c>
      <c r="EX15">
        <v>2</v>
      </c>
      <c r="EY15" s="9"/>
      <c r="EZ15" s="9" t="s">
        <v>272</v>
      </c>
      <c r="FA15" s="9">
        <v>1</v>
      </c>
      <c r="FB15" s="9"/>
      <c r="FC15" s="9" t="s">
        <v>277</v>
      </c>
      <c r="FD15" s="9">
        <v>2</v>
      </c>
      <c r="FE15" s="9"/>
      <c r="FF15" s="7" t="s">
        <v>227</v>
      </c>
      <c r="FG15" s="8">
        <v>2</v>
      </c>
      <c r="FH15" s="9"/>
      <c r="FI15" s="9" t="s">
        <v>289</v>
      </c>
      <c r="FJ15" s="9">
        <v>2</v>
      </c>
      <c r="FK15" s="9"/>
      <c r="FL15" s="9" t="s">
        <v>249</v>
      </c>
      <c r="FM15" s="9">
        <v>2</v>
      </c>
      <c r="FN15" s="9"/>
      <c r="FO15" s="9" t="s">
        <v>281</v>
      </c>
      <c r="FP15" s="9">
        <v>1</v>
      </c>
      <c r="FQ15" s="9"/>
      <c r="FR15" s="7" t="s">
        <v>243</v>
      </c>
      <c r="FS15" s="8">
        <v>2</v>
      </c>
      <c r="FT15" s="9"/>
      <c r="FU15" s="9" t="s">
        <v>305</v>
      </c>
      <c r="FV15" s="9">
        <v>2</v>
      </c>
      <c r="FW15" s="9"/>
      <c r="FX15" s="9" t="s">
        <v>318</v>
      </c>
      <c r="FY15" s="9">
        <v>1</v>
      </c>
      <c r="FZ15" s="9"/>
      <c r="GA15" s="9" t="s">
        <v>331</v>
      </c>
      <c r="GB15" s="9">
        <v>1</v>
      </c>
      <c r="GC15" s="9"/>
      <c r="GD15" s="9" t="s">
        <v>344</v>
      </c>
      <c r="GE15" s="9">
        <v>1</v>
      </c>
      <c r="GF15" s="9"/>
      <c r="GG15" s="9" t="s">
        <v>357</v>
      </c>
      <c r="GH15" s="9">
        <v>1</v>
      </c>
      <c r="GI15" s="9"/>
      <c r="GJ15" s="9" t="s">
        <v>371</v>
      </c>
      <c r="GK15" s="9">
        <v>1</v>
      </c>
      <c r="GL15" s="9"/>
      <c r="GM15" s="9" t="s">
        <v>386</v>
      </c>
      <c r="GN15" s="10">
        <v>1</v>
      </c>
    </row>
    <row r="16" spans="2:196" ht="13.05" customHeight="1" x14ac:dyDescent="0.25">
      <c r="B16" s="19" t="str">
        <f>IF(AK16&gt;0,COUNT($B$7:B15)+1,"")</f>
        <v/>
      </c>
      <c r="C16" s="524" t="e">
        <f>CU13</f>
        <v>#N/A</v>
      </c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25"/>
      <c r="AD16" s="525"/>
      <c r="AE16" s="525"/>
      <c r="AF16" s="525"/>
      <c r="AG16" s="525"/>
      <c r="AH16" s="525"/>
      <c r="AI16" s="525"/>
      <c r="AJ16" s="525"/>
      <c r="AK16" s="483"/>
      <c r="AL16" s="484"/>
      <c r="AM16" s="484"/>
      <c r="AN16" s="484"/>
      <c r="AO16" s="485"/>
      <c r="AP16" s="527" t="e">
        <f t="shared" si="6"/>
        <v>#N/A</v>
      </c>
      <c r="AQ16" s="527"/>
      <c r="AR16" s="527"/>
      <c r="AS16" s="527"/>
      <c r="AT16" s="527"/>
      <c r="AU16" s="527" t="str">
        <f t="shared" si="7"/>
        <v/>
      </c>
      <c r="AV16" s="527"/>
      <c r="AW16" s="527"/>
      <c r="AX16" s="527"/>
      <c r="AY16" s="528"/>
      <c r="BB16" s="10">
        <v>10</v>
      </c>
      <c r="BC16" s="532" t="str">
        <f t="shared" si="8"/>
        <v/>
      </c>
      <c r="BD16" s="527"/>
      <c r="BE16" s="527"/>
      <c r="BF16" s="527"/>
      <c r="BG16" s="527"/>
      <c r="BH16" s="527"/>
      <c r="BI16" s="527"/>
      <c r="BJ16" s="527"/>
      <c r="BK16" s="527"/>
      <c r="BL16" s="527"/>
      <c r="BM16" s="527"/>
      <c r="BN16" s="527"/>
      <c r="BO16" s="527"/>
      <c r="BP16" s="527"/>
      <c r="BQ16" s="527"/>
      <c r="BR16" s="527"/>
      <c r="BS16" s="527"/>
      <c r="BT16" s="527"/>
      <c r="BU16" s="527"/>
      <c r="BV16" s="527"/>
      <c r="BW16" s="527"/>
      <c r="BX16" s="527"/>
      <c r="BY16" s="527"/>
      <c r="BZ16" s="527"/>
      <c r="CA16" s="527"/>
      <c r="CB16" s="527"/>
      <c r="CC16" s="527"/>
      <c r="CD16" s="527"/>
      <c r="CE16" s="527"/>
      <c r="CF16" s="527"/>
      <c r="CG16" s="527"/>
      <c r="CH16" s="527"/>
      <c r="CI16" s="527" t="str">
        <f t="shared" si="4"/>
        <v/>
      </c>
      <c r="CJ16" s="527"/>
      <c r="CK16" s="527"/>
      <c r="CL16" s="527"/>
      <c r="CM16" s="528"/>
      <c r="CO16" s="22"/>
      <c r="CP16" s="22"/>
      <c r="CQ16" s="12">
        <f t="shared" si="9"/>
        <v>0</v>
      </c>
      <c r="CT16" s="9"/>
      <c r="CU16" s="18" t="e">
        <f t="shared" si="3"/>
        <v>#N/A</v>
      </c>
      <c r="CV16" s="18" t="e">
        <f t="shared" si="0"/>
        <v>#N/A</v>
      </c>
      <c r="CW16" s="9"/>
      <c r="CX16" s="18" t="e">
        <f t="shared" si="1"/>
        <v>#N/A</v>
      </c>
      <c r="CY16" s="18" t="e">
        <f t="shared" si="2"/>
        <v>#N/A</v>
      </c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7" t="s">
        <v>244</v>
      </c>
      <c r="EC16" s="8">
        <v>3</v>
      </c>
      <c r="ED16" s="9"/>
      <c r="EE16" s="7" t="s">
        <v>249</v>
      </c>
      <c r="EF16" s="8">
        <v>3</v>
      </c>
      <c r="EG16" s="9"/>
      <c r="EH16" s="7" t="s">
        <v>410</v>
      </c>
      <c r="EI16" s="8">
        <v>1</v>
      </c>
      <c r="EJ16" s="9"/>
      <c r="EK16" s="9" t="s">
        <v>243</v>
      </c>
      <c r="EL16" s="9">
        <v>2</v>
      </c>
      <c r="EM16" s="9"/>
      <c r="EN16" s="9" t="s">
        <v>410</v>
      </c>
      <c r="EO16" s="9">
        <v>1</v>
      </c>
      <c r="EP16" s="9"/>
      <c r="EQ16" s="9" t="s">
        <v>237</v>
      </c>
      <c r="ER16" s="9">
        <v>1</v>
      </c>
      <c r="ES16" s="9"/>
      <c r="ET16" s="9" t="s">
        <v>237</v>
      </c>
      <c r="EU16" s="9">
        <v>1</v>
      </c>
      <c r="EV16" s="9"/>
      <c r="EW16" t="s">
        <v>237</v>
      </c>
      <c r="EX16">
        <v>1</v>
      </c>
      <c r="EY16" s="9"/>
      <c r="EZ16" s="9" t="s">
        <v>273</v>
      </c>
      <c r="FA16" s="9">
        <v>3</v>
      </c>
      <c r="FB16" s="9"/>
      <c r="FC16" s="9" t="s">
        <v>243</v>
      </c>
      <c r="FD16" s="9">
        <v>2</v>
      </c>
      <c r="FE16" s="9"/>
      <c r="FF16" s="7" t="s">
        <v>284</v>
      </c>
      <c r="FG16" s="8">
        <v>2</v>
      </c>
      <c r="FH16" s="9"/>
      <c r="FI16" s="9" t="s">
        <v>288</v>
      </c>
      <c r="FJ16" s="9">
        <v>2</v>
      </c>
      <c r="FK16" s="9"/>
      <c r="FL16" s="9" t="s">
        <v>410</v>
      </c>
      <c r="FM16" s="9">
        <v>1</v>
      </c>
      <c r="FN16" s="9"/>
      <c r="FO16" s="9" t="s">
        <v>284</v>
      </c>
      <c r="FP16" s="9">
        <v>2</v>
      </c>
      <c r="FQ16" s="9"/>
      <c r="FR16" s="7" t="s">
        <v>244</v>
      </c>
      <c r="FS16" s="8">
        <v>1</v>
      </c>
      <c r="FT16" s="9"/>
      <c r="FU16" s="9" t="s">
        <v>306</v>
      </c>
      <c r="FV16" s="9">
        <v>1</v>
      </c>
      <c r="FW16" s="9"/>
      <c r="FX16" s="9" t="s">
        <v>319</v>
      </c>
      <c r="FY16" s="9">
        <v>1</v>
      </c>
      <c r="FZ16" s="9"/>
      <c r="GA16" s="9" t="s">
        <v>332</v>
      </c>
      <c r="GB16" s="9">
        <v>1</v>
      </c>
      <c r="GC16" s="9"/>
      <c r="GD16" s="9" t="s">
        <v>287</v>
      </c>
      <c r="GE16" s="9">
        <v>1</v>
      </c>
      <c r="GF16" s="9"/>
      <c r="GG16" s="9" t="s">
        <v>358</v>
      </c>
      <c r="GH16" s="9">
        <v>1</v>
      </c>
      <c r="GI16" s="9"/>
      <c r="GJ16" s="9" t="s">
        <v>272</v>
      </c>
      <c r="GK16" s="9">
        <v>1</v>
      </c>
      <c r="GL16" s="9"/>
      <c r="GM16" s="9" t="s">
        <v>217</v>
      </c>
      <c r="GN16" s="10">
        <v>1</v>
      </c>
    </row>
    <row r="17" spans="2:196" ht="13.05" customHeight="1" x14ac:dyDescent="0.25">
      <c r="B17" s="19" t="str">
        <f>IF(AK17&gt;0,COUNT($B$7:B16)+1,"")</f>
        <v/>
      </c>
      <c r="C17" s="524" t="e">
        <f t="shared" si="5"/>
        <v>#N/A</v>
      </c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5"/>
      <c r="AJ17" s="525"/>
      <c r="AK17" s="483"/>
      <c r="AL17" s="484"/>
      <c r="AM17" s="484"/>
      <c r="AN17" s="484"/>
      <c r="AO17" s="485"/>
      <c r="AP17" s="527" t="e">
        <f t="shared" si="6"/>
        <v>#N/A</v>
      </c>
      <c r="AQ17" s="527"/>
      <c r="AR17" s="527"/>
      <c r="AS17" s="527"/>
      <c r="AT17" s="527"/>
      <c r="AU17" s="527" t="str">
        <f t="shared" si="7"/>
        <v/>
      </c>
      <c r="AV17" s="527"/>
      <c r="AW17" s="527"/>
      <c r="AX17" s="527"/>
      <c r="AY17" s="528"/>
      <c r="BB17" s="10">
        <v>11</v>
      </c>
      <c r="BC17" s="532" t="str">
        <f t="shared" si="8"/>
        <v/>
      </c>
      <c r="BD17" s="527"/>
      <c r="BE17" s="527"/>
      <c r="BF17" s="527"/>
      <c r="BG17" s="527"/>
      <c r="BH17" s="527"/>
      <c r="BI17" s="527"/>
      <c r="BJ17" s="527"/>
      <c r="BK17" s="527"/>
      <c r="BL17" s="527"/>
      <c r="BM17" s="527"/>
      <c r="BN17" s="527"/>
      <c r="BO17" s="527"/>
      <c r="BP17" s="527"/>
      <c r="BQ17" s="527"/>
      <c r="BR17" s="527"/>
      <c r="BS17" s="527"/>
      <c r="BT17" s="527"/>
      <c r="BU17" s="527"/>
      <c r="BV17" s="527"/>
      <c r="BW17" s="527"/>
      <c r="BX17" s="527"/>
      <c r="BY17" s="527"/>
      <c r="BZ17" s="527"/>
      <c r="CA17" s="527"/>
      <c r="CB17" s="527"/>
      <c r="CC17" s="527"/>
      <c r="CD17" s="527"/>
      <c r="CE17" s="527"/>
      <c r="CF17" s="527"/>
      <c r="CG17" s="527"/>
      <c r="CH17" s="527"/>
      <c r="CI17" s="527" t="str">
        <f t="shared" si="4"/>
        <v/>
      </c>
      <c r="CJ17" s="527"/>
      <c r="CK17" s="527"/>
      <c r="CL17" s="527"/>
      <c r="CM17" s="528"/>
      <c r="CO17" s="22"/>
      <c r="CP17" s="22"/>
      <c r="CQ17" s="12">
        <f t="shared" si="9"/>
        <v>0</v>
      </c>
      <c r="CT17" s="9"/>
      <c r="CU17" s="18" t="e">
        <f t="shared" si="3"/>
        <v>#N/A</v>
      </c>
      <c r="CV17" s="18" t="e">
        <f t="shared" si="0"/>
        <v>#N/A</v>
      </c>
      <c r="CW17" s="9"/>
      <c r="CX17" s="18" t="e">
        <f t="shared" si="1"/>
        <v>#N/A</v>
      </c>
      <c r="CY17" s="18" t="e">
        <f t="shared" si="2"/>
        <v>#N/A</v>
      </c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7" t="s">
        <v>245</v>
      </c>
      <c r="EC17" s="8">
        <v>1</v>
      </c>
      <c r="ED17" s="9"/>
      <c r="EE17" s="7" t="s">
        <v>243</v>
      </c>
      <c r="EF17" s="8">
        <v>2</v>
      </c>
      <c r="EG17" s="9"/>
      <c r="EH17" s="7" t="s">
        <v>245</v>
      </c>
      <c r="EI17" s="8">
        <v>1</v>
      </c>
      <c r="EJ17" s="9"/>
      <c r="EK17" s="9" t="s">
        <v>262</v>
      </c>
      <c r="EL17" s="9">
        <v>3</v>
      </c>
      <c r="EM17" s="9"/>
      <c r="EN17" s="9" t="s">
        <v>266</v>
      </c>
      <c r="EO17" s="9">
        <v>1</v>
      </c>
      <c r="EP17" s="9"/>
      <c r="EQ17" s="9" t="s">
        <v>243</v>
      </c>
      <c r="ER17" s="9">
        <v>2</v>
      </c>
      <c r="ES17" s="9"/>
      <c r="ET17" s="9" t="s">
        <v>243</v>
      </c>
      <c r="EU17" s="9">
        <v>2</v>
      </c>
      <c r="EV17" s="9"/>
      <c r="EW17" t="s">
        <v>243</v>
      </c>
      <c r="EX17">
        <v>2</v>
      </c>
      <c r="EY17" s="9"/>
      <c r="EZ17" s="9" t="s">
        <v>249</v>
      </c>
      <c r="FA17" s="9">
        <v>2</v>
      </c>
      <c r="FB17" s="9"/>
      <c r="FC17" s="9" t="s">
        <v>5</v>
      </c>
      <c r="FD17" s="9">
        <v>1</v>
      </c>
      <c r="FE17" s="9"/>
      <c r="FF17" s="7" t="s">
        <v>243</v>
      </c>
      <c r="FG17" s="8">
        <v>2</v>
      </c>
      <c r="FH17" s="9"/>
      <c r="FI17" s="9" t="s">
        <v>243</v>
      </c>
      <c r="FJ17" s="9">
        <v>1</v>
      </c>
      <c r="FK17" s="9"/>
      <c r="FL17" s="9" t="s">
        <v>292</v>
      </c>
      <c r="FM17" s="9">
        <v>2</v>
      </c>
      <c r="FN17" s="9"/>
      <c r="FO17" s="9" t="s">
        <v>229</v>
      </c>
      <c r="FP17" s="9">
        <v>1</v>
      </c>
      <c r="FQ17" s="9"/>
      <c r="FR17" s="7" t="s">
        <v>262</v>
      </c>
      <c r="FS17" s="8">
        <v>2</v>
      </c>
      <c r="FT17" s="9"/>
      <c r="FU17" s="9" t="s">
        <v>307</v>
      </c>
      <c r="FV17" s="9">
        <v>1</v>
      </c>
      <c r="FW17" s="9"/>
      <c r="FX17" s="9" t="s">
        <v>250</v>
      </c>
      <c r="FY17" s="9">
        <v>1</v>
      </c>
      <c r="FZ17" s="9"/>
      <c r="GA17" s="9" t="s">
        <v>333</v>
      </c>
      <c r="GB17" s="9">
        <v>1</v>
      </c>
      <c r="GC17" s="9"/>
      <c r="GD17" s="9" t="s">
        <v>345</v>
      </c>
      <c r="GE17" s="9">
        <v>1</v>
      </c>
      <c r="GF17" s="9"/>
      <c r="GG17" s="9" t="s">
        <v>304</v>
      </c>
      <c r="GH17" s="9">
        <v>1</v>
      </c>
      <c r="GI17" s="9"/>
      <c r="GJ17" s="9" t="s">
        <v>372</v>
      </c>
      <c r="GK17" s="9">
        <v>1</v>
      </c>
      <c r="GL17" s="9"/>
      <c r="GM17" s="9" t="s">
        <v>387</v>
      </c>
      <c r="GN17" s="10">
        <v>1</v>
      </c>
    </row>
    <row r="18" spans="2:196" ht="13.05" customHeight="1" x14ac:dyDescent="0.2">
      <c r="B18" s="19" t="str">
        <f>IF(AK18&gt;0,COUNT($B$7:B17)+1,"")</f>
        <v/>
      </c>
      <c r="C18" s="524" t="e">
        <f t="shared" si="5"/>
        <v>#N/A</v>
      </c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483"/>
      <c r="AL18" s="484"/>
      <c r="AM18" s="484"/>
      <c r="AN18" s="484"/>
      <c r="AO18" s="485"/>
      <c r="AP18" s="527" t="e">
        <f t="shared" si="6"/>
        <v>#N/A</v>
      </c>
      <c r="AQ18" s="527"/>
      <c r="AR18" s="527"/>
      <c r="AS18" s="527"/>
      <c r="AT18" s="527"/>
      <c r="AU18" s="527" t="str">
        <f t="shared" si="7"/>
        <v/>
      </c>
      <c r="AV18" s="527"/>
      <c r="AW18" s="527"/>
      <c r="AX18" s="527"/>
      <c r="AY18" s="528"/>
      <c r="BB18" s="10">
        <v>12</v>
      </c>
      <c r="BC18" s="532" t="str">
        <f t="shared" si="8"/>
        <v/>
      </c>
      <c r="BD18" s="527"/>
      <c r="BE18" s="527"/>
      <c r="BF18" s="527"/>
      <c r="BG18" s="527"/>
      <c r="BH18" s="527"/>
      <c r="BI18" s="527"/>
      <c r="BJ18" s="527"/>
      <c r="BK18" s="527"/>
      <c r="BL18" s="527"/>
      <c r="BM18" s="527"/>
      <c r="BN18" s="527"/>
      <c r="BO18" s="527"/>
      <c r="BP18" s="527"/>
      <c r="BQ18" s="527"/>
      <c r="BR18" s="527"/>
      <c r="BS18" s="527"/>
      <c r="BT18" s="527"/>
      <c r="BU18" s="527"/>
      <c r="BV18" s="527"/>
      <c r="BW18" s="527"/>
      <c r="BX18" s="527"/>
      <c r="BY18" s="527"/>
      <c r="BZ18" s="527"/>
      <c r="CA18" s="527"/>
      <c r="CB18" s="527"/>
      <c r="CC18" s="527"/>
      <c r="CD18" s="527"/>
      <c r="CE18" s="527"/>
      <c r="CF18" s="527"/>
      <c r="CG18" s="527"/>
      <c r="CH18" s="527"/>
      <c r="CI18" s="527" t="str">
        <f t="shared" si="4"/>
        <v/>
      </c>
      <c r="CJ18" s="527"/>
      <c r="CK18" s="527"/>
      <c r="CL18" s="527"/>
      <c r="CM18" s="528"/>
      <c r="CO18" s="22"/>
      <c r="CP18" s="22"/>
      <c r="CQ18" s="12">
        <f t="shared" si="9"/>
        <v>0</v>
      </c>
      <c r="CT18" s="9"/>
      <c r="CU18" s="18" t="e">
        <f t="shared" si="3"/>
        <v>#N/A</v>
      </c>
      <c r="CV18" s="18" t="e">
        <f t="shared" si="0"/>
        <v>#N/A</v>
      </c>
      <c r="CW18" s="9"/>
      <c r="CX18" s="18" t="e">
        <f t="shared" si="1"/>
        <v>#N/A</v>
      </c>
      <c r="CY18" s="18" t="e">
        <f t="shared" si="2"/>
        <v>#N/A</v>
      </c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 t="s">
        <v>308</v>
      </c>
      <c r="FV18" s="9">
        <v>2</v>
      </c>
      <c r="FW18" s="9"/>
      <c r="FX18" s="9" t="s">
        <v>320</v>
      </c>
      <c r="FY18" s="9">
        <v>1</v>
      </c>
      <c r="FZ18" s="9"/>
      <c r="GA18" s="9" t="s">
        <v>334</v>
      </c>
      <c r="GB18" s="9">
        <v>1</v>
      </c>
      <c r="GC18" s="9"/>
      <c r="GD18" s="9" t="s">
        <v>332</v>
      </c>
      <c r="GE18" s="9">
        <v>1</v>
      </c>
      <c r="GF18" s="9"/>
      <c r="GG18" s="9" t="s">
        <v>359</v>
      </c>
      <c r="GH18" s="9">
        <v>1</v>
      </c>
      <c r="GI18" s="9"/>
      <c r="GJ18" s="9" t="s">
        <v>373</v>
      </c>
      <c r="GK18" s="9">
        <v>1</v>
      </c>
      <c r="GL18" s="9"/>
      <c r="GM18" s="9" t="s">
        <v>388</v>
      </c>
      <c r="GN18" s="10">
        <v>1</v>
      </c>
    </row>
    <row r="19" spans="2:196" ht="13.05" customHeight="1" x14ac:dyDescent="0.2">
      <c r="B19" s="19" t="str">
        <f>IF(AK19&gt;0,COUNT($B$7:B18)+1,"")</f>
        <v/>
      </c>
      <c r="C19" s="524" t="e">
        <f t="shared" si="5"/>
        <v>#N/A</v>
      </c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483"/>
      <c r="AL19" s="484"/>
      <c r="AM19" s="484"/>
      <c r="AN19" s="484"/>
      <c r="AO19" s="485"/>
      <c r="AP19" s="527" t="e">
        <f t="shared" si="6"/>
        <v>#N/A</v>
      </c>
      <c r="AQ19" s="527"/>
      <c r="AR19" s="527"/>
      <c r="AS19" s="527"/>
      <c r="AT19" s="527"/>
      <c r="AU19" s="527" t="str">
        <f t="shared" si="7"/>
        <v/>
      </c>
      <c r="AV19" s="527"/>
      <c r="AW19" s="527"/>
      <c r="AX19" s="527"/>
      <c r="AY19" s="528"/>
      <c r="BB19" s="10">
        <v>13</v>
      </c>
      <c r="BC19" s="532" t="str">
        <f t="shared" si="8"/>
        <v/>
      </c>
      <c r="BD19" s="527"/>
      <c r="BE19" s="527"/>
      <c r="BF19" s="527"/>
      <c r="BG19" s="527"/>
      <c r="BH19" s="527"/>
      <c r="BI19" s="527"/>
      <c r="BJ19" s="527"/>
      <c r="BK19" s="527"/>
      <c r="BL19" s="527"/>
      <c r="BM19" s="527"/>
      <c r="BN19" s="527"/>
      <c r="BO19" s="527"/>
      <c r="BP19" s="527"/>
      <c r="BQ19" s="527"/>
      <c r="BR19" s="527"/>
      <c r="BS19" s="527"/>
      <c r="BT19" s="527"/>
      <c r="BU19" s="527"/>
      <c r="BV19" s="527"/>
      <c r="BW19" s="527"/>
      <c r="BX19" s="527"/>
      <c r="BY19" s="527"/>
      <c r="BZ19" s="527"/>
      <c r="CA19" s="527"/>
      <c r="CB19" s="527"/>
      <c r="CC19" s="527"/>
      <c r="CD19" s="527"/>
      <c r="CE19" s="527"/>
      <c r="CF19" s="527"/>
      <c r="CG19" s="527"/>
      <c r="CH19" s="527"/>
      <c r="CI19" s="527" t="str">
        <f t="shared" si="4"/>
        <v/>
      </c>
      <c r="CJ19" s="527"/>
      <c r="CK19" s="527"/>
      <c r="CL19" s="527"/>
      <c r="CM19" s="528"/>
      <c r="CO19" s="22"/>
      <c r="CP19" s="22"/>
      <c r="CQ19" s="12">
        <f t="shared" si="9"/>
        <v>0</v>
      </c>
      <c r="CT19" s="9"/>
      <c r="CU19" s="18" t="e">
        <f t="shared" si="3"/>
        <v>#N/A</v>
      </c>
      <c r="CV19" s="18" t="e">
        <f t="shared" si="0"/>
        <v>#N/A</v>
      </c>
      <c r="CW19" s="9"/>
      <c r="CX19" s="18" t="e">
        <f t="shared" si="1"/>
        <v>#N/A</v>
      </c>
      <c r="CY19" s="18" t="e">
        <f t="shared" si="2"/>
        <v>#N/A</v>
      </c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 t="s">
        <v>309</v>
      </c>
      <c r="FV19" s="9">
        <v>2</v>
      </c>
      <c r="FW19" s="9"/>
      <c r="FX19" s="9" t="s">
        <v>288</v>
      </c>
      <c r="FY19" s="9">
        <v>1</v>
      </c>
      <c r="FZ19" s="9"/>
      <c r="GA19" s="9" t="s">
        <v>335</v>
      </c>
      <c r="GB19" s="9">
        <v>1</v>
      </c>
      <c r="GC19" s="9"/>
      <c r="GD19" s="9" t="s">
        <v>333</v>
      </c>
      <c r="GE19" s="9">
        <v>2</v>
      </c>
      <c r="GF19" s="9"/>
      <c r="GG19" s="9" t="s">
        <v>360</v>
      </c>
      <c r="GH19" s="9">
        <v>1</v>
      </c>
      <c r="GI19" s="9"/>
      <c r="GJ19" s="9" t="s">
        <v>227</v>
      </c>
      <c r="GK19" s="9">
        <v>1</v>
      </c>
      <c r="GL19" s="9"/>
      <c r="GM19" s="9" t="s">
        <v>389</v>
      </c>
      <c r="GN19" s="10">
        <v>1</v>
      </c>
    </row>
    <row r="20" spans="2:196" ht="13.05" customHeight="1" x14ac:dyDescent="0.2">
      <c r="B20" s="19" t="str">
        <f>IF(AK20&gt;0,COUNT($B$7:B19)+1,"")</f>
        <v/>
      </c>
      <c r="C20" s="524" t="e">
        <f t="shared" si="5"/>
        <v>#N/A</v>
      </c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5"/>
      <c r="AJ20" s="525"/>
      <c r="AK20" s="483"/>
      <c r="AL20" s="484"/>
      <c r="AM20" s="484"/>
      <c r="AN20" s="484"/>
      <c r="AO20" s="485"/>
      <c r="AP20" s="527" t="e">
        <f t="shared" si="6"/>
        <v>#N/A</v>
      </c>
      <c r="AQ20" s="527"/>
      <c r="AR20" s="527"/>
      <c r="AS20" s="527"/>
      <c r="AT20" s="527"/>
      <c r="AU20" s="527" t="str">
        <f t="shared" si="7"/>
        <v/>
      </c>
      <c r="AV20" s="527"/>
      <c r="AW20" s="527"/>
      <c r="AX20" s="527"/>
      <c r="AY20" s="528"/>
      <c r="BB20" s="10">
        <v>14</v>
      </c>
      <c r="BC20" s="532" t="str">
        <f t="shared" si="8"/>
        <v/>
      </c>
      <c r="BD20" s="527"/>
      <c r="BE20" s="527"/>
      <c r="BF20" s="527"/>
      <c r="BG20" s="527"/>
      <c r="BH20" s="527"/>
      <c r="BI20" s="527"/>
      <c r="BJ20" s="527"/>
      <c r="BK20" s="527"/>
      <c r="BL20" s="527"/>
      <c r="BM20" s="527"/>
      <c r="BN20" s="527"/>
      <c r="BO20" s="527"/>
      <c r="BP20" s="527"/>
      <c r="BQ20" s="527"/>
      <c r="BR20" s="527"/>
      <c r="BS20" s="527"/>
      <c r="BT20" s="527"/>
      <c r="BU20" s="527"/>
      <c r="BV20" s="527"/>
      <c r="BW20" s="527"/>
      <c r="BX20" s="527"/>
      <c r="BY20" s="527"/>
      <c r="BZ20" s="527"/>
      <c r="CA20" s="527"/>
      <c r="CB20" s="527"/>
      <c r="CC20" s="527"/>
      <c r="CD20" s="527"/>
      <c r="CE20" s="527"/>
      <c r="CF20" s="527"/>
      <c r="CG20" s="527"/>
      <c r="CH20" s="527"/>
      <c r="CI20" s="527" t="str">
        <f t="shared" si="4"/>
        <v/>
      </c>
      <c r="CJ20" s="527"/>
      <c r="CK20" s="527"/>
      <c r="CL20" s="527"/>
      <c r="CM20" s="528"/>
      <c r="CO20" s="22"/>
      <c r="CP20" s="22"/>
      <c r="CQ20" s="12">
        <f t="shared" si="9"/>
        <v>0</v>
      </c>
      <c r="CT20" s="9"/>
      <c r="CU20" s="18" t="e">
        <f t="shared" si="3"/>
        <v>#N/A</v>
      </c>
      <c r="CV20" s="18" t="e">
        <f t="shared" si="0"/>
        <v>#N/A</v>
      </c>
      <c r="CW20" s="9"/>
      <c r="CX20" s="18" t="e">
        <f t="shared" si="1"/>
        <v>#N/A</v>
      </c>
      <c r="CY20" s="18" t="e">
        <f t="shared" si="2"/>
        <v>#N/A</v>
      </c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 t="s">
        <v>321</v>
      </c>
      <c r="FY20" s="9">
        <v>1</v>
      </c>
      <c r="FZ20" s="9"/>
      <c r="GA20" s="9" t="s">
        <v>336</v>
      </c>
      <c r="GB20" s="9">
        <v>1</v>
      </c>
      <c r="GC20" s="9"/>
      <c r="GD20" s="9" t="s">
        <v>346</v>
      </c>
      <c r="GE20" s="9">
        <v>1</v>
      </c>
      <c r="GF20" s="9"/>
      <c r="GG20" s="9" t="s">
        <v>361</v>
      </c>
      <c r="GH20" s="9">
        <v>1</v>
      </c>
      <c r="GI20" s="9"/>
      <c r="GJ20" s="9" t="s">
        <v>374</v>
      </c>
      <c r="GK20" s="9">
        <v>1</v>
      </c>
      <c r="GL20" s="9"/>
      <c r="GM20" s="9" t="s">
        <v>227</v>
      </c>
      <c r="GN20" s="10">
        <v>1</v>
      </c>
    </row>
    <row r="21" spans="2:196" ht="13.05" customHeight="1" x14ac:dyDescent="0.2">
      <c r="B21" s="19" t="str">
        <f>IF(AK21&gt;0,COUNT($B$7:B20)+1,"")</f>
        <v/>
      </c>
      <c r="C21" s="524" t="e">
        <f t="shared" si="5"/>
        <v>#N/A</v>
      </c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25"/>
      <c r="AC21" s="525"/>
      <c r="AD21" s="525"/>
      <c r="AE21" s="525"/>
      <c r="AF21" s="525"/>
      <c r="AG21" s="525"/>
      <c r="AH21" s="525"/>
      <c r="AI21" s="525"/>
      <c r="AJ21" s="525"/>
      <c r="AK21" s="483"/>
      <c r="AL21" s="484"/>
      <c r="AM21" s="484"/>
      <c r="AN21" s="484"/>
      <c r="AO21" s="485"/>
      <c r="AP21" s="527" t="e">
        <f t="shared" si="6"/>
        <v>#N/A</v>
      </c>
      <c r="AQ21" s="527"/>
      <c r="AR21" s="527"/>
      <c r="AS21" s="527"/>
      <c r="AT21" s="527"/>
      <c r="AU21" s="527" t="str">
        <f t="shared" si="7"/>
        <v/>
      </c>
      <c r="AV21" s="527"/>
      <c r="AW21" s="527"/>
      <c r="AX21" s="527"/>
      <c r="AY21" s="528"/>
      <c r="BB21" s="10">
        <v>15</v>
      </c>
      <c r="BC21" s="532" t="str">
        <f t="shared" si="8"/>
        <v/>
      </c>
      <c r="BD21" s="527"/>
      <c r="BE21" s="527"/>
      <c r="BF21" s="527"/>
      <c r="BG21" s="527"/>
      <c r="BH21" s="527"/>
      <c r="BI21" s="527"/>
      <c r="BJ21" s="527"/>
      <c r="BK21" s="527"/>
      <c r="BL21" s="527"/>
      <c r="BM21" s="527"/>
      <c r="BN21" s="527"/>
      <c r="BO21" s="527"/>
      <c r="BP21" s="527"/>
      <c r="BQ21" s="527"/>
      <c r="BR21" s="527"/>
      <c r="BS21" s="527"/>
      <c r="BT21" s="527"/>
      <c r="BU21" s="527"/>
      <c r="BV21" s="527"/>
      <c r="BW21" s="527"/>
      <c r="BX21" s="527"/>
      <c r="BY21" s="527"/>
      <c r="BZ21" s="527"/>
      <c r="CA21" s="527"/>
      <c r="CB21" s="527"/>
      <c r="CC21" s="527"/>
      <c r="CD21" s="527"/>
      <c r="CE21" s="527"/>
      <c r="CF21" s="527"/>
      <c r="CG21" s="527"/>
      <c r="CH21" s="527"/>
      <c r="CI21" s="527" t="str">
        <f t="shared" si="4"/>
        <v/>
      </c>
      <c r="CJ21" s="527"/>
      <c r="CK21" s="527"/>
      <c r="CL21" s="527"/>
      <c r="CM21" s="528"/>
      <c r="CO21" s="22"/>
      <c r="CP21" s="22"/>
      <c r="CQ21" s="12">
        <f t="shared" si="9"/>
        <v>0</v>
      </c>
      <c r="CT21" s="9"/>
      <c r="CU21" s="18" t="e">
        <f t="shared" si="3"/>
        <v>#N/A</v>
      </c>
      <c r="CV21" s="18" t="e">
        <f t="shared" si="0"/>
        <v>#N/A</v>
      </c>
      <c r="CW21" s="9"/>
      <c r="CX21" s="18" t="e">
        <f t="shared" si="1"/>
        <v>#N/A</v>
      </c>
      <c r="CY21" s="18" t="e">
        <f t="shared" si="2"/>
        <v>#N/A</v>
      </c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 t="s">
        <v>322</v>
      </c>
      <c r="FY21" s="9">
        <v>2</v>
      </c>
      <c r="FZ21" s="9"/>
      <c r="GA21" s="9" t="s">
        <v>222</v>
      </c>
      <c r="GB21" s="9">
        <v>1</v>
      </c>
      <c r="GC21" s="9"/>
      <c r="GD21" s="9" t="s">
        <v>347</v>
      </c>
      <c r="GE21" s="9">
        <v>1</v>
      </c>
      <c r="GF21" s="9"/>
      <c r="GG21" s="9" t="s">
        <v>249</v>
      </c>
      <c r="GH21" s="9">
        <v>1</v>
      </c>
      <c r="GI21" s="9"/>
      <c r="GJ21" s="9" t="s">
        <v>281</v>
      </c>
      <c r="GK21" s="9">
        <v>1</v>
      </c>
      <c r="GL21" s="9"/>
      <c r="GM21" s="9" t="s">
        <v>390</v>
      </c>
      <c r="GN21" s="10">
        <v>2</v>
      </c>
    </row>
    <row r="22" spans="2:196" ht="13.05" customHeight="1" x14ac:dyDescent="0.2">
      <c r="B22" s="19" t="str">
        <f>IF(AK22&gt;0,COUNT($B$7:B21)+1,"")</f>
        <v/>
      </c>
      <c r="C22" s="524" t="e">
        <f t="shared" si="5"/>
        <v>#N/A</v>
      </c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5"/>
      <c r="AJ22" s="525"/>
      <c r="AK22" s="483"/>
      <c r="AL22" s="484"/>
      <c r="AM22" s="484"/>
      <c r="AN22" s="484"/>
      <c r="AO22" s="485"/>
      <c r="AP22" s="527" t="e">
        <f t="shared" si="6"/>
        <v>#N/A</v>
      </c>
      <c r="AQ22" s="527"/>
      <c r="AR22" s="527"/>
      <c r="AS22" s="527"/>
      <c r="AT22" s="527"/>
      <c r="AU22" s="527" t="str">
        <f t="shared" si="7"/>
        <v/>
      </c>
      <c r="AV22" s="527"/>
      <c r="AW22" s="527"/>
      <c r="AX22" s="527"/>
      <c r="AY22" s="528"/>
      <c r="BB22" s="10">
        <v>16</v>
      </c>
      <c r="BC22" s="532" t="str">
        <f t="shared" si="8"/>
        <v/>
      </c>
      <c r="BD22" s="527"/>
      <c r="BE22" s="527"/>
      <c r="BF22" s="527"/>
      <c r="BG22" s="527"/>
      <c r="BH22" s="527"/>
      <c r="BI22" s="527"/>
      <c r="BJ22" s="527"/>
      <c r="BK22" s="527"/>
      <c r="BL22" s="527"/>
      <c r="BM22" s="527"/>
      <c r="BN22" s="527"/>
      <c r="BO22" s="527"/>
      <c r="BP22" s="527"/>
      <c r="BQ22" s="527"/>
      <c r="BR22" s="527"/>
      <c r="BS22" s="527"/>
      <c r="BT22" s="527"/>
      <c r="BU22" s="527"/>
      <c r="BV22" s="527"/>
      <c r="BW22" s="527"/>
      <c r="BX22" s="527"/>
      <c r="BY22" s="527"/>
      <c r="BZ22" s="527"/>
      <c r="CA22" s="527"/>
      <c r="CB22" s="527"/>
      <c r="CC22" s="527"/>
      <c r="CD22" s="527"/>
      <c r="CE22" s="527"/>
      <c r="CF22" s="527"/>
      <c r="CG22" s="527"/>
      <c r="CH22" s="527"/>
      <c r="CI22" s="527" t="str">
        <f t="shared" si="4"/>
        <v/>
      </c>
      <c r="CJ22" s="527"/>
      <c r="CK22" s="527"/>
      <c r="CL22" s="527"/>
      <c r="CM22" s="528"/>
      <c r="CO22" s="22"/>
      <c r="CP22" s="22"/>
      <c r="CQ22" s="12">
        <f t="shared" si="9"/>
        <v>0</v>
      </c>
      <c r="CT22" s="9"/>
      <c r="CU22" s="18" t="e">
        <f t="shared" si="3"/>
        <v>#N/A</v>
      </c>
      <c r="CV22" s="18" t="e">
        <f t="shared" si="0"/>
        <v>#N/A</v>
      </c>
      <c r="CW22" s="9"/>
      <c r="CX22" s="18" t="e">
        <f t="shared" si="1"/>
        <v>#N/A</v>
      </c>
      <c r="CY22" s="18" t="e">
        <f t="shared" si="2"/>
        <v>#N/A</v>
      </c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 t="s">
        <v>214</v>
      </c>
      <c r="FY22" s="9">
        <v>1</v>
      </c>
      <c r="FZ22" s="9"/>
      <c r="GA22" s="9" t="s">
        <v>223</v>
      </c>
      <c r="GB22" s="9">
        <v>1</v>
      </c>
      <c r="GC22" s="9"/>
      <c r="GD22" s="9" t="s">
        <v>308</v>
      </c>
      <c r="GE22" s="9">
        <v>1</v>
      </c>
      <c r="GF22" s="9"/>
      <c r="GG22" s="9" t="s">
        <v>362</v>
      </c>
      <c r="GH22" s="9">
        <v>1</v>
      </c>
      <c r="GI22" s="9"/>
      <c r="GJ22" s="9" t="s">
        <v>375</v>
      </c>
      <c r="GK22" s="9">
        <v>2</v>
      </c>
      <c r="GL22" s="9"/>
      <c r="GM22" s="9" t="s">
        <v>391</v>
      </c>
      <c r="GN22" s="10">
        <v>1</v>
      </c>
    </row>
    <row r="23" spans="2:196" ht="13.05" customHeight="1" x14ac:dyDescent="0.2">
      <c r="B23" s="19" t="str">
        <f>IF(AK23&gt;0,COUNT($B$7:B22)+1,"")</f>
        <v/>
      </c>
      <c r="C23" s="524" t="e">
        <f t="shared" si="5"/>
        <v>#N/A</v>
      </c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5"/>
      <c r="AJ23" s="525"/>
      <c r="AK23" s="483"/>
      <c r="AL23" s="484"/>
      <c r="AM23" s="484"/>
      <c r="AN23" s="484"/>
      <c r="AO23" s="485"/>
      <c r="AP23" s="527" t="e">
        <f t="shared" si="6"/>
        <v>#N/A</v>
      </c>
      <c r="AQ23" s="527"/>
      <c r="AR23" s="527"/>
      <c r="AS23" s="527"/>
      <c r="AT23" s="527"/>
      <c r="AU23" s="527" t="str">
        <f t="shared" si="7"/>
        <v/>
      </c>
      <c r="AV23" s="527"/>
      <c r="AW23" s="527"/>
      <c r="AX23" s="527"/>
      <c r="AY23" s="528"/>
      <c r="BB23" s="10">
        <v>17</v>
      </c>
      <c r="BC23" s="532" t="str">
        <f>IF(ISERROR(VLOOKUP(BB23,$B$7:$AY$48,2,FALSE)),"",VLOOKUP(BB23,$B$7:$AY$48,2,FALSE))</f>
        <v/>
      </c>
      <c r="BD23" s="527"/>
      <c r="BE23" s="527"/>
      <c r="BF23" s="527"/>
      <c r="BG23" s="527"/>
      <c r="BH23" s="527"/>
      <c r="BI23" s="527"/>
      <c r="BJ23" s="527"/>
      <c r="BK23" s="527"/>
      <c r="BL23" s="527"/>
      <c r="BM23" s="527"/>
      <c r="BN23" s="527"/>
      <c r="BO23" s="527"/>
      <c r="BP23" s="527"/>
      <c r="BQ23" s="527"/>
      <c r="BR23" s="527"/>
      <c r="BS23" s="527"/>
      <c r="BT23" s="527"/>
      <c r="BU23" s="527"/>
      <c r="BV23" s="527"/>
      <c r="BW23" s="527"/>
      <c r="BX23" s="527"/>
      <c r="BY23" s="527"/>
      <c r="BZ23" s="527"/>
      <c r="CA23" s="527"/>
      <c r="CB23" s="527"/>
      <c r="CC23" s="527"/>
      <c r="CD23" s="527"/>
      <c r="CE23" s="527"/>
      <c r="CF23" s="527"/>
      <c r="CG23" s="527"/>
      <c r="CH23" s="527"/>
      <c r="CI23" s="527" t="str">
        <f t="shared" si="4"/>
        <v/>
      </c>
      <c r="CJ23" s="527"/>
      <c r="CK23" s="527"/>
      <c r="CL23" s="527"/>
      <c r="CM23" s="528"/>
      <c r="CO23" s="22"/>
      <c r="CP23" s="22"/>
      <c r="CQ23" s="12">
        <f t="shared" si="9"/>
        <v>0</v>
      </c>
      <c r="CT23" s="9"/>
      <c r="CU23" s="18" t="e">
        <f t="shared" si="3"/>
        <v>#N/A</v>
      </c>
      <c r="CV23" s="18" t="e">
        <f t="shared" si="0"/>
        <v>#N/A</v>
      </c>
      <c r="CW23" s="9"/>
      <c r="CX23" s="18" t="e">
        <f t="shared" si="1"/>
        <v>#N/A</v>
      </c>
      <c r="CY23" s="18" t="e">
        <f t="shared" si="2"/>
        <v>#N/A</v>
      </c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 t="s">
        <v>323</v>
      </c>
      <c r="FY23" s="9">
        <v>1</v>
      </c>
      <c r="FZ23" s="9"/>
      <c r="GA23" s="9" t="s">
        <v>337</v>
      </c>
      <c r="GB23" s="9">
        <v>1</v>
      </c>
      <c r="GC23" s="9"/>
      <c r="GD23" s="9" t="s">
        <v>267</v>
      </c>
      <c r="GE23" s="9">
        <v>1</v>
      </c>
      <c r="GF23" s="9"/>
      <c r="GG23" s="9" t="s">
        <v>363</v>
      </c>
      <c r="GH23" s="9">
        <v>1</v>
      </c>
      <c r="GI23" s="9"/>
      <c r="GJ23" s="9" t="s">
        <v>376</v>
      </c>
      <c r="GK23" s="9">
        <v>1</v>
      </c>
      <c r="GL23" s="9"/>
      <c r="GM23" s="9" t="s">
        <v>392</v>
      </c>
      <c r="GN23" s="10">
        <v>1</v>
      </c>
    </row>
    <row r="24" spans="2:196" ht="13.05" customHeight="1" thickBot="1" x14ac:dyDescent="0.25">
      <c r="B24" s="19" t="str">
        <f>IF(AK24&gt;0,COUNT($B$7:B23)+1,"")</f>
        <v/>
      </c>
      <c r="C24" s="524" t="e">
        <f t="shared" si="5"/>
        <v>#N/A</v>
      </c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525"/>
      <c r="X24" s="525"/>
      <c r="Y24" s="525"/>
      <c r="Z24" s="525"/>
      <c r="AA24" s="525"/>
      <c r="AB24" s="525"/>
      <c r="AC24" s="525"/>
      <c r="AD24" s="525"/>
      <c r="AE24" s="525"/>
      <c r="AF24" s="525"/>
      <c r="AG24" s="525"/>
      <c r="AH24" s="525"/>
      <c r="AI24" s="525"/>
      <c r="AJ24" s="525"/>
      <c r="AK24" s="483"/>
      <c r="AL24" s="484"/>
      <c r="AM24" s="484"/>
      <c r="AN24" s="484"/>
      <c r="AO24" s="485"/>
      <c r="AP24" s="527" t="e">
        <f t="shared" si="6"/>
        <v>#N/A</v>
      </c>
      <c r="AQ24" s="527"/>
      <c r="AR24" s="527"/>
      <c r="AS24" s="527"/>
      <c r="AT24" s="527"/>
      <c r="AU24" s="527" t="str">
        <f t="shared" si="7"/>
        <v/>
      </c>
      <c r="AV24" s="527"/>
      <c r="AW24" s="527"/>
      <c r="AX24" s="527"/>
      <c r="AY24" s="528"/>
      <c r="BB24" s="10">
        <v>18</v>
      </c>
      <c r="BC24" s="531" t="str">
        <f>IF(ISERROR(VLOOKUP(BB24,$B$7:$AY$48,2,FALSE)),"",VLOOKUP(BB24,$B$7:$AY$48,2,FALSE))</f>
        <v/>
      </c>
      <c r="BD24" s="529"/>
      <c r="BE24" s="529"/>
      <c r="BF24" s="529"/>
      <c r="BG24" s="529"/>
      <c r="BH24" s="529"/>
      <c r="BI24" s="529"/>
      <c r="BJ24" s="529"/>
      <c r="BK24" s="529"/>
      <c r="BL24" s="529"/>
      <c r="BM24" s="529"/>
      <c r="BN24" s="529"/>
      <c r="BO24" s="529"/>
      <c r="BP24" s="529"/>
      <c r="BQ24" s="529"/>
      <c r="BR24" s="529"/>
      <c r="BS24" s="529"/>
      <c r="BT24" s="529"/>
      <c r="BU24" s="529"/>
      <c r="BV24" s="529"/>
      <c r="BW24" s="529"/>
      <c r="BX24" s="529"/>
      <c r="BY24" s="529"/>
      <c r="BZ24" s="529"/>
      <c r="CA24" s="529"/>
      <c r="CB24" s="529"/>
      <c r="CC24" s="529"/>
      <c r="CD24" s="529"/>
      <c r="CE24" s="529"/>
      <c r="CF24" s="529"/>
      <c r="CG24" s="529"/>
      <c r="CH24" s="529"/>
      <c r="CI24" s="529" t="str">
        <f t="shared" si="4"/>
        <v/>
      </c>
      <c r="CJ24" s="529"/>
      <c r="CK24" s="529"/>
      <c r="CL24" s="529"/>
      <c r="CM24" s="530"/>
      <c r="CO24" s="22"/>
      <c r="CP24" s="22"/>
      <c r="CQ24" s="12">
        <f t="shared" si="9"/>
        <v>0</v>
      </c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</row>
    <row r="25" spans="2:196" ht="13.05" customHeight="1" thickBot="1" x14ac:dyDescent="0.25">
      <c r="B25" s="19" t="str">
        <f>IF(AK25&gt;0,COUNT($B$7:B24)+1,"")</f>
        <v/>
      </c>
      <c r="C25" s="524" t="e">
        <f t="shared" si="5"/>
        <v>#N/A</v>
      </c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  <c r="AG25" s="525"/>
      <c r="AH25" s="525"/>
      <c r="AI25" s="525"/>
      <c r="AJ25" s="525"/>
      <c r="AK25" s="483"/>
      <c r="AL25" s="484"/>
      <c r="AM25" s="484"/>
      <c r="AN25" s="484"/>
      <c r="AO25" s="485"/>
      <c r="AP25" s="527" t="e">
        <f t="shared" si="6"/>
        <v>#N/A</v>
      </c>
      <c r="AQ25" s="527"/>
      <c r="AR25" s="527"/>
      <c r="AS25" s="527"/>
      <c r="AT25" s="527"/>
      <c r="AU25" s="527" t="str">
        <f t="shared" si="7"/>
        <v/>
      </c>
      <c r="AV25" s="527"/>
      <c r="AW25" s="527"/>
      <c r="AX25" s="527"/>
      <c r="AY25" s="528"/>
      <c r="BB25" s="10">
        <v>19</v>
      </c>
      <c r="BC25" s="531" t="str">
        <f>IF(ISERROR(VLOOKUP(BB25,$B$7:$AY$48,2,FALSE)),"",VLOOKUP(BB25,$B$7:$AY$48,2,FALSE))</f>
        <v/>
      </c>
      <c r="BD25" s="529"/>
      <c r="BE25" s="529"/>
      <c r="BF25" s="529"/>
      <c r="BG25" s="529"/>
      <c r="BH25" s="529"/>
      <c r="BI25" s="529"/>
      <c r="BJ25" s="529"/>
      <c r="BK25" s="529"/>
      <c r="BL25" s="529"/>
      <c r="BM25" s="529"/>
      <c r="BN25" s="529"/>
      <c r="BO25" s="529"/>
      <c r="BP25" s="529"/>
      <c r="BQ25" s="529"/>
      <c r="BR25" s="529"/>
      <c r="BS25" s="529"/>
      <c r="BT25" s="529"/>
      <c r="BU25" s="529"/>
      <c r="BV25" s="529"/>
      <c r="BW25" s="529"/>
      <c r="BX25" s="529"/>
      <c r="BY25" s="529"/>
      <c r="BZ25" s="529"/>
      <c r="CA25" s="529"/>
      <c r="CB25" s="529"/>
      <c r="CC25" s="529"/>
      <c r="CD25" s="529"/>
      <c r="CE25" s="529"/>
      <c r="CF25" s="529"/>
      <c r="CG25" s="529"/>
      <c r="CH25" s="529"/>
      <c r="CI25" s="529" t="str">
        <f t="shared" si="4"/>
        <v/>
      </c>
      <c r="CJ25" s="529"/>
      <c r="CK25" s="529"/>
      <c r="CL25" s="529"/>
      <c r="CM25" s="530"/>
      <c r="CO25" s="22"/>
      <c r="CP25" s="22"/>
      <c r="CQ25" s="12">
        <f t="shared" si="9"/>
        <v>0</v>
      </c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</row>
    <row r="26" spans="2:196" ht="13.05" customHeight="1" thickBot="1" x14ac:dyDescent="0.25">
      <c r="B26" s="19" t="str">
        <f>IF(AK26&gt;0,COUNT($B$7:B25)+1,"")</f>
        <v/>
      </c>
      <c r="C26" s="520" t="e">
        <f t="shared" si="5"/>
        <v>#N/A</v>
      </c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1"/>
      <c r="AA26" s="521"/>
      <c r="AB26" s="521"/>
      <c r="AC26" s="521"/>
      <c r="AD26" s="521"/>
      <c r="AE26" s="521"/>
      <c r="AF26" s="521"/>
      <c r="AG26" s="521"/>
      <c r="AH26" s="521"/>
      <c r="AI26" s="521"/>
      <c r="AJ26" s="521"/>
      <c r="AK26" s="486"/>
      <c r="AL26" s="487"/>
      <c r="AM26" s="487"/>
      <c r="AN26" s="487"/>
      <c r="AO26" s="488"/>
      <c r="AP26" s="529" t="e">
        <f t="shared" si="6"/>
        <v>#N/A</v>
      </c>
      <c r="AQ26" s="529"/>
      <c r="AR26" s="529"/>
      <c r="AS26" s="529"/>
      <c r="AT26" s="529"/>
      <c r="AU26" s="529" t="str">
        <f t="shared" si="7"/>
        <v/>
      </c>
      <c r="AV26" s="529"/>
      <c r="AW26" s="529"/>
      <c r="AX26" s="529"/>
      <c r="AY26" s="530"/>
      <c r="BB26" s="10">
        <v>20</v>
      </c>
      <c r="BC26" s="531" t="str">
        <f t="shared" ref="BC26:BC32" si="10">IF(ISERROR(VLOOKUP(BB26,$B$7:$AY$48,2,FALSE)),"",VLOOKUP(BB26,$B$7:$AY$48,2,FALSE))</f>
        <v/>
      </c>
      <c r="BD26" s="529"/>
      <c r="BE26" s="529"/>
      <c r="BF26" s="529"/>
      <c r="BG26" s="529"/>
      <c r="BH26" s="529"/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29"/>
      <c r="BT26" s="529"/>
      <c r="BU26" s="529"/>
      <c r="BV26" s="529"/>
      <c r="BW26" s="529"/>
      <c r="BX26" s="529"/>
      <c r="BY26" s="529"/>
      <c r="BZ26" s="529"/>
      <c r="CA26" s="529"/>
      <c r="CB26" s="529"/>
      <c r="CC26" s="529"/>
      <c r="CD26" s="529"/>
      <c r="CE26" s="529"/>
      <c r="CF26" s="529"/>
      <c r="CG26" s="529"/>
      <c r="CH26" s="529"/>
      <c r="CI26" s="529" t="str">
        <f t="shared" si="4"/>
        <v/>
      </c>
      <c r="CJ26" s="529"/>
      <c r="CK26" s="529"/>
      <c r="CL26" s="529"/>
      <c r="CM26" s="530"/>
      <c r="CO26" s="22"/>
      <c r="CP26" s="22"/>
      <c r="CQ26" s="12">
        <f t="shared" si="9"/>
        <v>0</v>
      </c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29"/>
      <c r="DP26" s="29"/>
      <c r="DQ26" s="29"/>
      <c r="DR26" s="9"/>
      <c r="DS26" s="9"/>
      <c r="DT26" s="9"/>
      <c r="DU26" s="9"/>
      <c r="DV26" s="9"/>
      <c r="DW26" s="9"/>
      <c r="DX26" s="9"/>
      <c r="DY26" s="9"/>
      <c r="DZ26" s="9"/>
      <c r="EA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</row>
    <row r="27" spans="2:196" ht="13.05" customHeight="1" thickBot="1" x14ac:dyDescent="0.25">
      <c r="B27" s="1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BB27" s="10">
        <v>21</v>
      </c>
      <c r="BC27" s="531" t="str">
        <f t="shared" si="10"/>
        <v/>
      </c>
      <c r="BD27" s="529"/>
      <c r="BE27" s="529"/>
      <c r="BF27" s="529"/>
      <c r="BG27" s="529"/>
      <c r="BH27" s="529"/>
      <c r="BI27" s="529"/>
      <c r="BJ27" s="529"/>
      <c r="BK27" s="529"/>
      <c r="BL27" s="529"/>
      <c r="BM27" s="529"/>
      <c r="BN27" s="529"/>
      <c r="BO27" s="529"/>
      <c r="BP27" s="529"/>
      <c r="BQ27" s="529"/>
      <c r="BR27" s="529"/>
      <c r="BS27" s="529"/>
      <c r="BT27" s="529"/>
      <c r="BU27" s="529"/>
      <c r="BV27" s="529"/>
      <c r="BW27" s="529"/>
      <c r="BX27" s="529"/>
      <c r="BY27" s="529"/>
      <c r="BZ27" s="529"/>
      <c r="CA27" s="529"/>
      <c r="CB27" s="529"/>
      <c r="CC27" s="529"/>
      <c r="CD27" s="529"/>
      <c r="CE27" s="529"/>
      <c r="CF27" s="529"/>
      <c r="CG27" s="529"/>
      <c r="CH27" s="529"/>
      <c r="CI27" s="529" t="str">
        <f t="shared" si="4"/>
        <v/>
      </c>
      <c r="CJ27" s="529"/>
      <c r="CK27" s="529"/>
      <c r="CL27" s="529"/>
      <c r="CM27" s="530"/>
      <c r="CO27" s="22"/>
      <c r="CP27" s="22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29"/>
      <c r="DP27" s="30"/>
      <c r="DQ27" s="29"/>
      <c r="DR27" s="9"/>
      <c r="DS27" s="9"/>
      <c r="DT27" s="9"/>
      <c r="DU27" s="9"/>
      <c r="DV27" s="9"/>
      <c r="DW27" s="9"/>
      <c r="DX27" s="9"/>
      <c r="DY27" s="9"/>
      <c r="DZ27" s="9"/>
      <c r="EA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</row>
    <row r="28" spans="2:196" ht="13.05" customHeight="1" thickBot="1" x14ac:dyDescent="0.25">
      <c r="B28" s="26"/>
      <c r="C28" s="526" t="s">
        <v>402</v>
      </c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2"/>
      <c r="R28" s="522"/>
      <c r="S28" s="522"/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2"/>
      <c r="AE28" s="522"/>
      <c r="AF28" s="522"/>
      <c r="AG28" s="522"/>
      <c r="AH28" s="522"/>
      <c r="AI28" s="522"/>
      <c r="AJ28" s="522"/>
      <c r="AK28" s="522" t="s">
        <v>19</v>
      </c>
      <c r="AL28" s="522"/>
      <c r="AM28" s="522"/>
      <c r="AN28" s="522"/>
      <c r="AO28" s="522"/>
      <c r="AP28" s="522" t="s">
        <v>114</v>
      </c>
      <c r="AQ28" s="522"/>
      <c r="AR28" s="522"/>
      <c r="AS28" s="522"/>
      <c r="AT28" s="522"/>
      <c r="AU28" s="522" t="s">
        <v>17</v>
      </c>
      <c r="AV28" s="522"/>
      <c r="AW28" s="522"/>
      <c r="AX28" s="522"/>
      <c r="AY28" s="536"/>
      <c r="BA28" s="23"/>
      <c r="BB28" s="10">
        <v>22</v>
      </c>
      <c r="BC28" s="531" t="str">
        <f t="shared" si="10"/>
        <v/>
      </c>
      <c r="BD28" s="529"/>
      <c r="BE28" s="529"/>
      <c r="BF28" s="529"/>
      <c r="BG28" s="529"/>
      <c r="BH28" s="529"/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29"/>
      <c r="BT28" s="529"/>
      <c r="BU28" s="529"/>
      <c r="BV28" s="529"/>
      <c r="BW28" s="529"/>
      <c r="BX28" s="529"/>
      <c r="BY28" s="529"/>
      <c r="BZ28" s="529"/>
      <c r="CA28" s="529"/>
      <c r="CB28" s="529"/>
      <c r="CC28" s="529"/>
      <c r="CD28" s="529"/>
      <c r="CE28" s="529"/>
      <c r="CF28" s="529"/>
      <c r="CG28" s="529"/>
      <c r="CH28" s="529"/>
      <c r="CI28" s="529" t="str">
        <f t="shared" si="4"/>
        <v/>
      </c>
      <c r="CJ28" s="529"/>
      <c r="CK28" s="529"/>
      <c r="CL28" s="529"/>
      <c r="CM28" s="530"/>
      <c r="CO28" s="22"/>
      <c r="CP28" s="22"/>
      <c r="CR28" s="23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29"/>
      <c r="DP28" s="30"/>
      <c r="DQ28" s="29"/>
      <c r="DR28" s="9"/>
      <c r="DS28" s="9"/>
      <c r="DT28" s="9"/>
      <c r="DU28" s="9"/>
      <c r="DV28" s="9"/>
      <c r="DW28" s="9"/>
      <c r="DX28" s="9"/>
      <c r="DY28" s="9"/>
      <c r="DZ28" s="9"/>
      <c r="EA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</row>
    <row r="29" spans="2:196" ht="13.05" customHeight="1" thickBot="1" x14ac:dyDescent="0.25">
      <c r="B29" s="12" t="str">
        <f>IF(AK29&gt;0,IF(NOT(ISERROR(VLOOKUP(C29,$C$7:$AO$26,35,FALSE))),IF(VLOOKUP(C29,$C$7:AO10,35,FALSE)="",COUNT($B$7:$B$26)+1,""),COUNT($B$7:$B$26)+1),"")</f>
        <v/>
      </c>
      <c r="C29" s="524" t="e">
        <f>CX4</f>
        <v>#N/A</v>
      </c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3"/>
      <c r="AL29" s="523"/>
      <c r="AM29" s="523"/>
      <c r="AN29" s="523"/>
      <c r="AO29" s="523"/>
      <c r="AP29" s="527" t="e">
        <f>CY4</f>
        <v>#N/A</v>
      </c>
      <c r="AQ29" s="527"/>
      <c r="AR29" s="527"/>
      <c r="AS29" s="527"/>
      <c r="AT29" s="527"/>
      <c r="AU29" s="527" t="str">
        <f>IF(AK29&gt;0,AK29,"")</f>
        <v/>
      </c>
      <c r="AV29" s="527"/>
      <c r="AW29" s="527"/>
      <c r="AX29" s="527"/>
      <c r="AY29" s="528"/>
      <c r="BB29" s="10">
        <v>23</v>
      </c>
      <c r="BC29" s="531" t="str">
        <f t="shared" si="10"/>
        <v/>
      </c>
      <c r="BD29" s="529"/>
      <c r="BE29" s="529"/>
      <c r="BF29" s="529"/>
      <c r="BG29" s="529"/>
      <c r="BH29" s="529"/>
      <c r="BI29" s="529"/>
      <c r="BJ29" s="529"/>
      <c r="BK29" s="529"/>
      <c r="BL29" s="529"/>
      <c r="BM29" s="529"/>
      <c r="BN29" s="529"/>
      <c r="BO29" s="529"/>
      <c r="BP29" s="529"/>
      <c r="BQ29" s="529"/>
      <c r="BR29" s="529"/>
      <c r="BS29" s="529"/>
      <c r="BT29" s="529"/>
      <c r="BU29" s="529"/>
      <c r="BV29" s="529"/>
      <c r="BW29" s="529"/>
      <c r="BX29" s="529"/>
      <c r="BY29" s="529"/>
      <c r="BZ29" s="529"/>
      <c r="CA29" s="529"/>
      <c r="CB29" s="529"/>
      <c r="CC29" s="529"/>
      <c r="CD29" s="529"/>
      <c r="CE29" s="529"/>
      <c r="CF29" s="529"/>
      <c r="CG29" s="529"/>
      <c r="CH29" s="529"/>
      <c r="CI29" s="529" t="str">
        <f t="shared" si="4"/>
        <v/>
      </c>
      <c r="CJ29" s="529"/>
      <c r="CK29" s="529"/>
      <c r="CL29" s="529"/>
      <c r="CM29" s="530"/>
      <c r="CN29" s="24"/>
      <c r="CO29" s="22"/>
      <c r="CP29" s="22"/>
      <c r="CQ29" s="12">
        <f t="shared" si="9"/>
        <v>0</v>
      </c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29"/>
      <c r="DP29" s="30"/>
      <c r="DQ29" s="29"/>
      <c r="DR29" s="9"/>
      <c r="DS29" s="9"/>
      <c r="DT29" s="9"/>
      <c r="DU29" s="9"/>
      <c r="DV29" s="9"/>
      <c r="DW29" s="9"/>
      <c r="DX29" s="9"/>
      <c r="DY29" s="9"/>
      <c r="DZ29" s="9"/>
      <c r="EA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</row>
    <row r="30" spans="2:196" ht="13.05" customHeight="1" thickBot="1" x14ac:dyDescent="0.25">
      <c r="B30" s="12" t="str">
        <f>IF(AK30&gt;0,IF(NOT(ISERROR(VLOOKUP(C30,$C$7:$AO$26,35,FALSE))),IF(VLOOKUP(C30,$C$7:AO11,35,FALSE)="",COUNT($B$7:$B$26)+COUNT($B$29:B29)+1,""),COUNT($B$7:$B$26)+COUNT($B$29:B29)+1),"")</f>
        <v/>
      </c>
      <c r="C30" s="524" t="e">
        <f t="shared" ref="C30:C48" si="11">CX5</f>
        <v>#N/A</v>
      </c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  <c r="AC30" s="525"/>
      <c r="AD30" s="525"/>
      <c r="AE30" s="525"/>
      <c r="AF30" s="525"/>
      <c r="AG30" s="525"/>
      <c r="AH30" s="525"/>
      <c r="AI30" s="525"/>
      <c r="AJ30" s="525"/>
      <c r="AK30" s="523"/>
      <c r="AL30" s="523"/>
      <c r="AM30" s="523"/>
      <c r="AN30" s="523"/>
      <c r="AO30" s="523"/>
      <c r="AP30" s="527" t="e">
        <f t="shared" ref="AP30:AP48" si="12">CY5</f>
        <v>#N/A</v>
      </c>
      <c r="AQ30" s="527"/>
      <c r="AR30" s="527"/>
      <c r="AS30" s="527"/>
      <c r="AT30" s="527"/>
      <c r="AU30" s="527" t="str">
        <f t="shared" ref="AU30:AU48" si="13">IF(AK30&gt;0,AK30,"")</f>
        <v/>
      </c>
      <c r="AV30" s="527"/>
      <c r="AW30" s="527"/>
      <c r="AX30" s="527"/>
      <c r="AY30" s="528"/>
      <c r="BB30" s="10">
        <v>24</v>
      </c>
      <c r="BC30" s="531" t="str">
        <f t="shared" si="10"/>
        <v/>
      </c>
      <c r="BD30" s="529"/>
      <c r="BE30" s="529"/>
      <c r="BF30" s="529"/>
      <c r="BG30" s="529"/>
      <c r="BH30" s="529"/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29"/>
      <c r="BT30" s="529"/>
      <c r="BU30" s="529"/>
      <c r="BV30" s="529"/>
      <c r="BW30" s="529"/>
      <c r="BX30" s="529"/>
      <c r="BY30" s="529"/>
      <c r="BZ30" s="529"/>
      <c r="CA30" s="529"/>
      <c r="CB30" s="529"/>
      <c r="CC30" s="529"/>
      <c r="CD30" s="529"/>
      <c r="CE30" s="529"/>
      <c r="CF30" s="529"/>
      <c r="CG30" s="529"/>
      <c r="CH30" s="529"/>
      <c r="CI30" s="529" t="str">
        <f t="shared" si="4"/>
        <v/>
      </c>
      <c r="CJ30" s="529"/>
      <c r="CK30" s="529"/>
      <c r="CL30" s="529"/>
      <c r="CM30" s="530"/>
      <c r="CO30" s="22"/>
      <c r="CP30" s="22"/>
      <c r="CQ30" s="12">
        <f t="shared" si="9"/>
        <v>0</v>
      </c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29"/>
      <c r="DP30" s="29"/>
      <c r="DQ30" s="29"/>
      <c r="DR30" s="9"/>
      <c r="DS30" s="9"/>
      <c r="DT30" s="9"/>
      <c r="DU30" s="9"/>
      <c r="DV30" s="9"/>
      <c r="DW30" s="9"/>
      <c r="DX30" s="9"/>
      <c r="DY30" s="9"/>
      <c r="DZ30" s="9"/>
      <c r="EA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S30" s="9"/>
      <c r="EV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</row>
    <row r="31" spans="2:196" ht="13.05" customHeight="1" thickBot="1" x14ac:dyDescent="0.25">
      <c r="B31" s="12" t="str">
        <f>IF(AK31&gt;0,IF(NOT(ISERROR(VLOOKUP(C31,$C$7:$AO$26,35,FALSE))),IF(VLOOKUP(C31,$C$7:AO12,35,FALSE)="",COUNT($B$7:$B$26)+COUNT($B$29:B30)+1,""),COUNT($B$7:$B$26)+COUNT($B$29:B30)+1),"")</f>
        <v/>
      </c>
      <c r="C31" s="524" t="e">
        <f t="shared" si="11"/>
        <v>#N/A</v>
      </c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  <c r="AC31" s="525"/>
      <c r="AD31" s="525"/>
      <c r="AE31" s="525"/>
      <c r="AF31" s="525"/>
      <c r="AG31" s="525"/>
      <c r="AH31" s="525"/>
      <c r="AI31" s="525"/>
      <c r="AJ31" s="525"/>
      <c r="AK31" s="523"/>
      <c r="AL31" s="523"/>
      <c r="AM31" s="523"/>
      <c r="AN31" s="523"/>
      <c r="AO31" s="523"/>
      <c r="AP31" s="527" t="e">
        <f t="shared" si="12"/>
        <v>#N/A</v>
      </c>
      <c r="AQ31" s="527"/>
      <c r="AR31" s="527"/>
      <c r="AS31" s="527"/>
      <c r="AT31" s="527"/>
      <c r="AU31" s="527" t="str">
        <f t="shared" si="13"/>
        <v/>
      </c>
      <c r="AV31" s="527"/>
      <c r="AW31" s="527"/>
      <c r="AX31" s="527"/>
      <c r="AY31" s="528"/>
      <c r="BB31" s="10">
        <v>25</v>
      </c>
      <c r="BC31" s="531" t="str">
        <f t="shared" si="10"/>
        <v/>
      </c>
      <c r="BD31" s="529"/>
      <c r="BE31" s="529"/>
      <c r="BF31" s="529"/>
      <c r="BG31" s="529"/>
      <c r="BH31" s="529"/>
      <c r="BI31" s="529"/>
      <c r="BJ31" s="529"/>
      <c r="BK31" s="529"/>
      <c r="BL31" s="529"/>
      <c r="BM31" s="529"/>
      <c r="BN31" s="529"/>
      <c r="BO31" s="529"/>
      <c r="BP31" s="529"/>
      <c r="BQ31" s="529"/>
      <c r="BR31" s="529"/>
      <c r="BS31" s="529"/>
      <c r="BT31" s="529"/>
      <c r="BU31" s="529"/>
      <c r="BV31" s="529"/>
      <c r="BW31" s="529"/>
      <c r="BX31" s="529"/>
      <c r="BY31" s="529"/>
      <c r="BZ31" s="529"/>
      <c r="CA31" s="529"/>
      <c r="CB31" s="529"/>
      <c r="CC31" s="529"/>
      <c r="CD31" s="529"/>
      <c r="CE31" s="529"/>
      <c r="CF31" s="529"/>
      <c r="CG31" s="529"/>
      <c r="CH31" s="529"/>
      <c r="CI31" s="529" t="str">
        <f t="shared" si="4"/>
        <v/>
      </c>
      <c r="CJ31" s="529"/>
      <c r="CK31" s="529"/>
      <c r="CL31" s="529"/>
      <c r="CM31" s="530"/>
      <c r="CO31" s="22"/>
      <c r="CP31" s="22"/>
      <c r="CQ31" s="12">
        <f t="shared" si="9"/>
        <v>0</v>
      </c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29"/>
      <c r="DP31" s="29"/>
      <c r="DQ31" s="29"/>
      <c r="DR31" s="9"/>
      <c r="DS31" s="9"/>
      <c r="DT31" s="9"/>
      <c r="DU31" s="9"/>
      <c r="DV31" s="9"/>
      <c r="DW31" s="9"/>
      <c r="DX31" s="9"/>
      <c r="DY31" s="9"/>
      <c r="DZ31" s="9"/>
      <c r="EA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S31" s="9"/>
      <c r="EV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</row>
    <row r="32" spans="2:196" s="23" customFormat="1" ht="13.05" customHeight="1" thickBot="1" x14ac:dyDescent="0.25">
      <c r="B32" s="12" t="str">
        <f>IF(AK32&gt;0,IF(NOT(ISERROR(VLOOKUP(C32,$C$7:$AO$26,35,FALSE))),IF(VLOOKUP(C32,$C$7:AO13,35,FALSE)="",COUNT($B$7:$B$26)+COUNT($B$29:B31)+1,""),COUNT($B$7:$B$26)+COUNT($B$29:B31)+1),"")</f>
        <v/>
      </c>
      <c r="C32" s="524" t="e">
        <f t="shared" si="11"/>
        <v>#N/A</v>
      </c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  <c r="T32" s="525"/>
      <c r="U32" s="525"/>
      <c r="V32" s="525"/>
      <c r="W32" s="525"/>
      <c r="X32" s="525"/>
      <c r="Y32" s="525"/>
      <c r="Z32" s="525"/>
      <c r="AA32" s="525"/>
      <c r="AB32" s="525"/>
      <c r="AC32" s="525"/>
      <c r="AD32" s="525"/>
      <c r="AE32" s="525"/>
      <c r="AF32" s="525"/>
      <c r="AG32" s="525"/>
      <c r="AH32" s="525"/>
      <c r="AI32" s="525"/>
      <c r="AJ32" s="525"/>
      <c r="AK32" s="523"/>
      <c r="AL32" s="523"/>
      <c r="AM32" s="523"/>
      <c r="AN32" s="523"/>
      <c r="AO32" s="523"/>
      <c r="AP32" s="527" t="e">
        <f t="shared" si="12"/>
        <v>#N/A</v>
      </c>
      <c r="AQ32" s="527"/>
      <c r="AR32" s="527"/>
      <c r="AS32" s="527"/>
      <c r="AT32" s="527"/>
      <c r="AU32" s="527" t="str">
        <f t="shared" si="13"/>
        <v/>
      </c>
      <c r="AV32" s="527"/>
      <c r="AW32" s="527"/>
      <c r="AX32" s="527"/>
      <c r="AY32" s="528"/>
      <c r="AZ32" s="10"/>
      <c r="BA32" s="10"/>
      <c r="BB32" s="10">
        <v>26</v>
      </c>
      <c r="BC32" s="531" t="str">
        <f t="shared" si="10"/>
        <v/>
      </c>
      <c r="BD32" s="529"/>
      <c r="BE32" s="529"/>
      <c r="BF32" s="529"/>
      <c r="BG32" s="529"/>
      <c r="BH32" s="529"/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29"/>
      <c r="BT32" s="529"/>
      <c r="BU32" s="529"/>
      <c r="BV32" s="529"/>
      <c r="BW32" s="529"/>
      <c r="BX32" s="529"/>
      <c r="BY32" s="529"/>
      <c r="BZ32" s="529"/>
      <c r="CA32" s="529"/>
      <c r="CB32" s="529"/>
      <c r="CC32" s="529"/>
      <c r="CD32" s="529"/>
      <c r="CE32" s="529"/>
      <c r="CF32" s="529"/>
      <c r="CG32" s="529"/>
      <c r="CH32" s="529"/>
      <c r="CI32" s="529" t="str">
        <f t="shared" si="4"/>
        <v/>
      </c>
      <c r="CJ32" s="529"/>
      <c r="CK32" s="529"/>
      <c r="CL32" s="529"/>
      <c r="CM32" s="530"/>
      <c r="CN32" s="10"/>
      <c r="CO32" s="22"/>
      <c r="CP32" s="22"/>
      <c r="CQ32" s="12">
        <f t="shared" si="9"/>
        <v>0</v>
      </c>
      <c r="CR32" s="10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10"/>
      <c r="EC32" s="10"/>
      <c r="ED32" s="10"/>
      <c r="EE32" s="10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10"/>
      <c r="ER32" s="10"/>
      <c r="ES32" s="9"/>
      <c r="ET32" s="10"/>
      <c r="EU32" s="10"/>
      <c r="EV32" s="9"/>
      <c r="EW32" s="10"/>
      <c r="EX32" s="10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10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</row>
    <row r="33" spans="2:104" ht="13.05" customHeight="1" thickBot="1" x14ac:dyDescent="0.25">
      <c r="B33" s="12" t="str">
        <f>IF(AK33&gt;0,IF(NOT(ISERROR(VLOOKUP(C33,$C$7:$AO$26,35,FALSE))),IF(VLOOKUP(C33,$C$7:AO14,35,FALSE)="",COUNT($B$7:$B$26)+COUNT($B$29:B32)+1,""),COUNT($B$7:$B$26)+COUNT($B$29:B32)+1),"")</f>
        <v/>
      </c>
      <c r="C33" s="524" t="e">
        <f t="shared" si="11"/>
        <v>#N/A</v>
      </c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523"/>
      <c r="AL33" s="523"/>
      <c r="AM33" s="523"/>
      <c r="AN33" s="523"/>
      <c r="AO33" s="523"/>
      <c r="AP33" s="527" t="e">
        <f t="shared" si="12"/>
        <v>#N/A</v>
      </c>
      <c r="AQ33" s="527"/>
      <c r="AR33" s="527"/>
      <c r="AS33" s="527"/>
      <c r="AT33" s="527"/>
      <c r="AU33" s="527" t="str">
        <f t="shared" si="13"/>
        <v/>
      </c>
      <c r="AV33" s="527"/>
      <c r="AW33" s="527"/>
      <c r="AX33" s="527"/>
      <c r="AY33" s="528"/>
      <c r="BB33" s="10">
        <v>27</v>
      </c>
      <c r="BC33" s="531" t="str">
        <f>IF(ISERROR(VLOOKUP(BB33,$B$7:$AY$48,2,FALSE)),"",VLOOKUP(BB33,$B$7:$AY$48,2,FALSE))</f>
        <v/>
      </c>
      <c r="BD33" s="529"/>
      <c r="BE33" s="529"/>
      <c r="BF33" s="529"/>
      <c r="BG33" s="529"/>
      <c r="BH33" s="529"/>
      <c r="BI33" s="529"/>
      <c r="BJ33" s="529"/>
      <c r="BK33" s="529"/>
      <c r="BL33" s="529"/>
      <c r="BM33" s="529"/>
      <c r="BN33" s="529"/>
      <c r="BO33" s="529"/>
      <c r="BP33" s="529"/>
      <c r="BQ33" s="529"/>
      <c r="BR33" s="529"/>
      <c r="BS33" s="529"/>
      <c r="BT33" s="529"/>
      <c r="BU33" s="529"/>
      <c r="BV33" s="529"/>
      <c r="BW33" s="529"/>
      <c r="BX33" s="529"/>
      <c r="BY33" s="529"/>
      <c r="BZ33" s="529"/>
      <c r="CA33" s="529"/>
      <c r="CB33" s="529"/>
      <c r="CC33" s="529"/>
      <c r="CD33" s="529"/>
      <c r="CE33" s="529"/>
      <c r="CF33" s="529"/>
      <c r="CG33" s="529"/>
      <c r="CH33" s="529"/>
      <c r="CI33" s="529" t="str">
        <f t="shared" si="4"/>
        <v/>
      </c>
      <c r="CJ33" s="529"/>
      <c r="CK33" s="529"/>
      <c r="CL33" s="529"/>
      <c r="CM33" s="530"/>
      <c r="CO33" s="22"/>
      <c r="CP33" s="22"/>
      <c r="CQ33" s="12">
        <f t="shared" si="9"/>
        <v>0</v>
      </c>
      <c r="CT33" s="9"/>
      <c r="CU33" s="9"/>
      <c r="CV33" s="9"/>
      <c r="CW33" s="9"/>
      <c r="CX33" s="9"/>
      <c r="CY33" s="9"/>
      <c r="CZ33" s="9"/>
    </row>
    <row r="34" spans="2:104" ht="13.05" customHeight="1" thickBot="1" x14ac:dyDescent="0.25">
      <c r="B34" s="12" t="str">
        <f>IF(AK34&gt;0,IF(NOT(ISERROR(VLOOKUP(C34,$C$7:$AO$26,35,FALSE))),IF(VLOOKUP(C34,$C$7:AO15,35,FALSE)="",COUNT($B$7:$B$26)+COUNT($B$29:B33)+1,""),COUNT($B$7:$B$26)+COUNT($B$29:B33)+1),"")</f>
        <v/>
      </c>
      <c r="C34" s="524" t="e">
        <f t="shared" si="11"/>
        <v>#N/A</v>
      </c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5"/>
      <c r="T34" s="525"/>
      <c r="U34" s="525"/>
      <c r="V34" s="525"/>
      <c r="W34" s="525"/>
      <c r="X34" s="525"/>
      <c r="Y34" s="525"/>
      <c r="Z34" s="525"/>
      <c r="AA34" s="525"/>
      <c r="AB34" s="525"/>
      <c r="AC34" s="525"/>
      <c r="AD34" s="525"/>
      <c r="AE34" s="525"/>
      <c r="AF34" s="525"/>
      <c r="AG34" s="525"/>
      <c r="AH34" s="525"/>
      <c r="AI34" s="525"/>
      <c r="AJ34" s="525"/>
      <c r="AK34" s="523"/>
      <c r="AL34" s="523"/>
      <c r="AM34" s="523"/>
      <c r="AN34" s="523"/>
      <c r="AO34" s="523"/>
      <c r="AP34" s="527" t="e">
        <f t="shared" si="12"/>
        <v>#N/A</v>
      </c>
      <c r="AQ34" s="527"/>
      <c r="AR34" s="527"/>
      <c r="AS34" s="527"/>
      <c r="AT34" s="527"/>
      <c r="AU34" s="527" t="str">
        <f t="shared" si="13"/>
        <v/>
      </c>
      <c r="AV34" s="527"/>
      <c r="AW34" s="527"/>
      <c r="AX34" s="527"/>
      <c r="AY34" s="528"/>
      <c r="BB34" s="10">
        <v>28</v>
      </c>
      <c r="BC34" s="531" t="str">
        <f>IF(ISERROR(VLOOKUP(BB34,$B$7:$AY$48,2,FALSE)),"",VLOOKUP(BB34,$B$7:$AY$48,2,FALSE))</f>
        <v/>
      </c>
      <c r="BD34" s="529"/>
      <c r="BE34" s="529"/>
      <c r="BF34" s="529"/>
      <c r="BG34" s="529"/>
      <c r="BH34" s="529"/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29"/>
      <c r="BT34" s="529"/>
      <c r="BU34" s="529"/>
      <c r="BV34" s="529"/>
      <c r="BW34" s="529"/>
      <c r="BX34" s="529"/>
      <c r="BY34" s="529"/>
      <c r="BZ34" s="529"/>
      <c r="CA34" s="529"/>
      <c r="CB34" s="529"/>
      <c r="CC34" s="529"/>
      <c r="CD34" s="529"/>
      <c r="CE34" s="529"/>
      <c r="CF34" s="529"/>
      <c r="CG34" s="529"/>
      <c r="CH34" s="529"/>
      <c r="CI34" s="529" t="str">
        <f t="shared" si="4"/>
        <v/>
      </c>
      <c r="CJ34" s="529"/>
      <c r="CK34" s="529"/>
      <c r="CL34" s="529"/>
      <c r="CM34" s="530"/>
      <c r="CO34" s="22"/>
      <c r="CP34" s="22"/>
      <c r="CQ34" s="12">
        <f t="shared" si="9"/>
        <v>0</v>
      </c>
      <c r="CT34" s="9"/>
      <c r="CU34" s="9"/>
      <c r="CV34" s="9"/>
      <c r="CW34" s="9"/>
      <c r="CX34" s="9"/>
      <c r="CY34" s="9"/>
      <c r="CZ34" s="9"/>
    </row>
    <row r="35" spans="2:104" ht="13.05" customHeight="1" thickBot="1" x14ac:dyDescent="0.25">
      <c r="B35" s="12" t="str">
        <f>IF(AK35&gt;0,IF(NOT(ISERROR(VLOOKUP(C35,$C$7:$AO$26,35,FALSE))),IF(VLOOKUP(C35,$C$7:AO16,35,FALSE)="",COUNT($B$7:$B$26)+COUNT($B$29:B34)+1,""),COUNT($B$7:$B$26)+COUNT($B$29:B34)+1),"")</f>
        <v/>
      </c>
      <c r="C35" s="524" t="e">
        <f t="shared" si="11"/>
        <v>#N/A</v>
      </c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  <c r="X35" s="525"/>
      <c r="Y35" s="525"/>
      <c r="Z35" s="525"/>
      <c r="AA35" s="525"/>
      <c r="AB35" s="525"/>
      <c r="AC35" s="525"/>
      <c r="AD35" s="525"/>
      <c r="AE35" s="525"/>
      <c r="AF35" s="525"/>
      <c r="AG35" s="525"/>
      <c r="AH35" s="525"/>
      <c r="AI35" s="525"/>
      <c r="AJ35" s="525"/>
      <c r="AK35" s="523"/>
      <c r="AL35" s="523"/>
      <c r="AM35" s="523"/>
      <c r="AN35" s="523"/>
      <c r="AO35" s="523"/>
      <c r="AP35" s="527" t="e">
        <f t="shared" si="12"/>
        <v>#N/A</v>
      </c>
      <c r="AQ35" s="527"/>
      <c r="AR35" s="527"/>
      <c r="AS35" s="527"/>
      <c r="AT35" s="527"/>
      <c r="AU35" s="527" t="str">
        <f t="shared" si="13"/>
        <v/>
      </c>
      <c r="AV35" s="527"/>
      <c r="AW35" s="527"/>
      <c r="AX35" s="527"/>
      <c r="AY35" s="528"/>
      <c r="BB35" s="10">
        <v>29</v>
      </c>
      <c r="BC35" s="531" t="str">
        <f>IF(ISERROR(VLOOKUP(BB35,$B$7:$AY$48,2,FALSE)),"",VLOOKUP(BB35,$B$7:$AY$48,2,FALSE))</f>
        <v/>
      </c>
      <c r="BD35" s="529"/>
      <c r="BE35" s="529"/>
      <c r="BF35" s="529"/>
      <c r="BG35" s="529"/>
      <c r="BH35" s="529"/>
      <c r="BI35" s="529"/>
      <c r="BJ35" s="529"/>
      <c r="BK35" s="529"/>
      <c r="BL35" s="529"/>
      <c r="BM35" s="529"/>
      <c r="BN35" s="529"/>
      <c r="BO35" s="529"/>
      <c r="BP35" s="529"/>
      <c r="BQ35" s="529"/>
      <c r="BR35" s="529"/>
      <c r="BS35" s="529"/>
      <c r="BT35" s="529"/>
      <c r="BU35" s="529"/>
      <c r="BV35" s="529"/>
      <c r="BW35" s="529"/>
      <c r="BX35" s="529"/>
      <c r="BY35" s="529"/>
      <c r="BZ35" s="529"/>
      <c r="CA35" s="529"/>
      <c r="CB35" s="529"/>
      <c r="CC35" s="529"/>
      <c r="CD35" s="529"/>
      <c r="CE35" s="529"/>
      <c r="CF35" s="529"/>
      <c r="CG35" s="529"/>
      <c r="CH35" s="529"/>
      <c r="CI35" s="529" t="str">
        <f t="shared" si="4"/>
        <v/>
      </c>
      <c r="CJ35" s="529"/>
      <c r="CK35" s="529"/>
      <c r="CL35" s="529"/>
      <c r="CM35" s="530"/>
      <c r="CO35" s="23"/>
      <c r="CP35" s="23"/>
      <c r="CQ35" s="12">
        <f t="shared" si="9"/>
        <v>0</v>
      </c>
      <c r="CT35" s="9"/>
      <c r="CU35" s="9"/>
      <c r="CV35" s="9"/>
      <c r="CW35" s="9"/>
      <c r="CX35" s="9"/>
      <c r="CY35" s="9"/>
      <c r="CZ35" s="9"/>
    </row>
    <row r="36" spans="2:104" ht="13.05" customHeight="1" thickBot="1" x14ac:dyDescent="0.25">
      <c r="B36" s="12" t="str">
        <f>IF(AK36&gt;0,IF(NOT(ISERROR(VLOOKUP(C36,$C$7:$AO$26,35,FALSE))),IF(VLOOKUP(C36,$C$7:AO17,35,FALSE)="",COUNT($B$7:$B$26)+COUNT($B$29:B35)+1,""),COUNT($B$7:$B$26)+COUNT($B$29:B35)+1),"")</f>
        <v/>
      </c>
      <c r="C36" s="524" t="e">
        <f t="shared" si="11"/>
        <v>#N/A</v>
      </c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5"/>
      <c r="T36" s="525"/>
      <c r="U36" s="525"/>
      <c r="V36" s="525"/>
      <c r="W36" s="525"/>
      <c r="X36" s="525"/>
      <c r="Y36" s="525"/>
      <c r="Z36" s="525"/>
      <c r="AA36" s="525"/>
      <c r="AB36" s="525"/>
      <c r="AC36" s="525"/>
      <c r="AD36" s="525"/>
      <c r="AE36" s="525"/>
      <c r="AF36" s="525"/>
      <c r="AG36" s="525"/>
      <c r="AH36" s="525"/>
      <c r="AI36" s="525"/>
      <c r="AJ36" s="525"/>
      <c r="AK36" s="523"/>
      <c r="AL36" s="523"/>
      <c r="AM36" s="523"/>
      <c r="AN36" s="523"/>
      <c r="AO36" s="523"/>
      <c r="AP36" s="527" t="e">
        <f t="shared" si="12"/>
        <v>#N/A</v>
      </c>
      <c r="AQ36" s="527"/>
      <c r="AR36" s="527"/>
      <c r="AS36" s="527"/>
      <c r="AT36" s="527"/>
      <c r="AU36" s="527" t="str">
        <f t="shared" si="13"/>
        <v/>
      </c>
      <c r="AV36" s="527"/>
      <c r="AW36" s="527"/>
      <c r="AX36" s="527"/>
      <c r="AY36" s="528"/>
      <c r="BB36" s="10">
        <v>30</v>
      </c>
      <c r="BC36" s="531" t="str">
        <f>IF(ISERROR(VLOOKUP(BB36,$B$7:$AY$48,2,FALSE)),"",VLOOKUP(BB36,$B$7:$AY$48,2,FALSE))</f>
        <v/>
      </c>
      <c r="BD36" s="529"/>
      <c r="BE36" s="529"/>
      <c r="BF36" s="529"/>
      <c r="BG36" s="529"/>
      <c r="BH36" s="529"/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29"/>
      <c r="BT36" s="529"/>
      <c r="BU36" s="529"/>
      <c r="BV36" s="529"/>
      <c r="BW36" s="529"/>
      <c r="BX36" s="529"/>
      <c r="BY36" s="529"/>
      <c r="BZ36" s="529"/>
      <c r="CA36" s="529"/>
      <c r="CB36" s="529"/>
      <c r="CC36" s="529"/>
      <c r="CD36" s="529"/>
      <c r="CE36" s="529"/>
      <c r="CF36" s="529"/>
      <c r="CG36" s="529"/>
      <c r="CH36" s="529"/>
      <c r="CI36" s="529" t="str">
        <f t="shared" si="4"/>
        <v/>
      </c>
      <c r="CJ36" s="529"/>
      <c r="CK36" s="529"/>
      <c r="CL36" s="529"/>
      <c r="CM36" s="530"/>
      <c r="CQ36" s="12">
        <f t="shared" si="9"/>
        <v>0</v>
      </c>
      <c r="CT36" s="9"/>
      <c r="CU36" s="9"/>
      <c r="CV36" s="9"/>
      <c r="CW36" s="9"/>
      <c r="CX36" s="9"/>
      <c r="CY36" s="9"/>
      <c r="CZ36" s="9"/>
    </row>
    <row r="37" spans="2:104" ht="13.05" customHeight="1" x14ac:dyDescent="0.2">
      <c r="B37" s="12" t="str">
        <f>IF(AK37&gt;0,IF(NOT(ISERROR(VLOOKUP(C37,$C$7:$AO$26,35,FALSE))),IF(VLOOKUP(C37,$C$7:AO18,35,FALSE)="",COUNT($B$7:$B$26)+COUNT($B$29:B36)+1,""),COUNT($B$7:$B$26)+COUNT($B$29:B36)+1),"")</f>
        <v/>
      </c>
      <c r="C37" s="524" t="e">
        <f t="shared" si="11"/>
        <v>#N/A</v>
      </c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3"/>
      <c r="AL37" s="523"/>
      <c r="AM37" s="523"/>
      <c r="AN37" s="523"/>
      <c r="AO37" s="523"/>
      <c r="AP37" s="527" t="e">
        <f t="shared" si="12"/>
        <v>#N/A</v>
      </c>
      <c r="AQ37" s="527"/>
      <c r="AR37" s="527"/>
      <c r="AS37" s="527"/>
      <c r="AT37" s="527"/>
      <c r="AU37" s="527" t="str">
        <f t="shared" si="13"/>
        <v/>
      </c>
      <c r="AV37" s="527"/>
      <c r="AW37" s="527"/>
      <c r="AX37" s="527"/>
      <c r="AY37" s="528"/>
      <c r="CQ37" s="12">
        <f t="shared" si="9"/>
        <v>0</v>
      </c>
      <c r="CT37" s="9"/>
      <c r="CU37" s="9"/>
      <c r="CV37" s="9"/>
      <c r="CW37" s="9"/>
      <c r="CX37" s="9"/>
      <c r="CY37" s="9"/>
      <c r="CZ37" s="9"/>
    </row>
    <row r="38" spans="2:104" ht="13.05" customHeight="1" x14ac:dyDescent="0.2">
      <c r="B38" s="12" t="str">
        <f>IF(AK38&gt;0,IF(NOT(ISERROR(VLOOKUP(C38,$C$7:$AO$26,35,FALSE))),IF(VLOOKUP(C38,$C$7:AO19,35,FALSE)="",COUNT($B$7:$B$26)+COUNT($B$29:B37)+1,""),COUNT($B$7:$B$26)+COUNT($B$29:B37)+1),"")</f>
        <v/>
      </c>
      <c r="C38" s="524" t="e">
        <f t="shared" si="11"/>
        <v>#N/A</v>
      </c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5"/>
      <c r="AI38" s="525"/>
      <c r="AJ38" s="525"/>
      <c r="AK38" s="523"/>
      <c r="AL38" s="523"/>
      <c r="AM38" s="523"/>
      <c r="AN38" s="523"/>
      <c r="AO38" s="523"/>
      <c r="AP38" s="527" t="e">
        <f t="shared" si="12"/>
        <v>#N/A</v>
      </c>
      <c r="AQ38" s="527"/>
      <c r="AR38" s="527"/>
      <c r="AS38" s="527"/>
      <c r="AT38" s="527"/>
      <c r="AU38" s="527" t="str">
        <f t="shared" si="13"/>
        <v/>
      </c>
      <c r="AV38" s="527"/>
      <c r="AW38" s="527"/>
      <c r="AX38" s="527"/>
      <c r="AY38" s="528"/>
      <c r="CQ38" s="12">
        <f t="shared" si="9"/>
        <v>0</v>
      </c>
      <c r="CT38" s="9"/>
      <c r="CU38" s="9"/>
      <c r="CV38" s="9"/>
      <c r="CW38" s="9"/>
      <c r="CX38" s="9"/>
      <c r="CY38" s="9"/>
      <c r="CZ38" s="9"/>
    </row>
    <row r="39" spans="2:104" ht="13.05" customHeight="1" x14ac:dyDescent="0.2">
      <c r="B39" s="12" t="str">
        <f>IF(AK39&gt;0,IF(NOT(ISERROR(VLOOKUP(C39,$C$7:$AO$26,35,FALSE))),IF(VLOOKUP(C39,$C$7:AO20,35,FALSE)="",COUNT($B$7:$B$26)+COUNT($B$29:B38)+1,""),COUNT($B$7:$B$26)+COUNT($B$29:B38)+1),"")</f>
        <v/>
      </c>
      <c r="C39" s="524" t="e">
        <f t="shared" si="11"/>
        <v>#N/A</v>
      </c>
      <c r="D39" s="525"/>
      <c r="E39" s="525"/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25"/>
      <c r="X39" s="525"/>
      <c r="Y39" s="525"/>
      <c r="Z39" s="525"/>
      <c r="AA39" s="525"/>
      <c r="AB39" s="525"/>
      <c r="AC39" s="525"/>
      <c r="AD39" s="525"/>
      <c r="AE39" s="525"/>
      <c r="AF39" s="525"/>
      <c r="AG39" s="525"/>
      <c r="AH39" s="525"/>
      <c r="AI39" s="525"/>
      <c r="AJ39" s="525"/>
      <c r="AK39" s="523"/>
      <c r="AL39" s="523"/>
      <c r="AM39" s="523"/>
      <c r="AN39" s="523"/>
      <c r="AO39" s="523"/>
      <c r="AP39" s="527" t="e">
        <f t="shared" si="12"/>
        <v>#N/A</v>
      </c>
      <c r="AQ39" s="527"/>
      <c r="AR39" s="527"/>
      <c r="AS39" s="527"/>
      <c r="AT39" s="527"/>
      <c r="AU39" s="527" t="str">
        <f t="shared" si="13"/>
        <v/>
      </c>
      <c r="AV39" s="527"/>
      <c r="AW39" s="527"/>
      <c r="AX39" s="527"/>
      <c r="AY39" s="528"/>
      <c r="CQ39" s="12">
        <f t="shared" si="9"/>
        <v>0</v>
      </c>
      <c r="CT39" s="9"/>
      <c r="CU39" s="9"/>
      <c r="CV39" s="9"/>
      <c r="CW39" s="9"/>
      <c r="CX39" s="9"/>
      <c r="CY39" s="9"/>
      <c r="CZ39" s="9"/>
    </row>
    <row r="40" spans="2:104" ht="13.05" customHeight="1" x14ac:dyDescent="0.2">
      <c r="B40" s="12" t="str">
        <f>IF(AK40&gt;0,IF(NOT(ISERROR(VLOOKUP(C40,$C$7:$AO$26,35,FALSE))),IF(VLOOKUP(C40,$C$7:AO21,35,FALSE)="",COUNT($B$7:$B$26)+COUNT($B$29:B39)+1,""),COUNT($B$7:$B$26)+COUNT($B$29:B39)+1),"")</f>
        <v/>
      </c>
      <c r="C40" s="524" t="e">
        <f t="shared" si="11"/>
        <v>#N/A</v>
      </c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3"/>
      <c r="AL40" s="523"/>
      <c r="AM40" s="523"/>
      <c r="AN40" s="523"/>
      <c r="AO40" s="523"/>
      <c r="AP40" s="527" t="e">
        <f t="shared" si="12"/>
        <v>#N/A</v>
      </c>
      <c r="AQ40" s="527"/>
      <c r="AR40" s="527"/>
      <c r="AS40" s="527"/>
      <c r="AT40" s="527"/>
      <c r="AU40" s="527" t="str">
        <f t="shared" si="13"/>
        <v/>
      </c>
      <c r="AV40" s="527"/>
      <c r="AW40" s="527"/>
      <c r="AX40" s="527"/>
      <c r="AY40" s="528"/>
      <c r="CQ40" s="12">
        <f t="shared" si="9"/>
        <v>0</v>
      </c>
      <c r="CT40" s="9"/>
      <c r="CU40" s="9"/>
      <c r="CV40" s="9"/>
      <c r="CW40" s="9"/>
      <c r="CX40" s="9"/>
      <c r="CY40" s="9"/>
      <c r="CZ40" s="9"/>
    </row>
    <row r="41" spans="2:104" ht="13.05" customHeight="1" x14ac:dyDescent="0.2">
      <c r="B41" s="12" t="str">
        <f>IF(AK41&gt;0,IF(NOT(ISERROR(VLOOKUP(C41,$C$7:$AO$26,35,FALSE))),IF(VLOOKUP(C41,$C$7:AO22,35,FALSE)="",COUNT($B$7:$B$26)+COUNT($B$29:B40)+1,""),COUNT($B$7:$B$26)+COUNT($B$29:B40)+1),"")</f>
        <v/>
      </c>
      <c r="C41" s="524" t="e">
        <f t="shared" si="11"/>
        <v>#N/A</v>
      </c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  <c r="S41" s="525"/>
      <c r="T41" s="525"/>
      <c r="U41" s="525"/>
      <c r="V41" s="525"/>
      <c r="W41" s="525"/>
      <c r="X41" s="525"/>
      <c r="Y41" s="525"/>
      <c r="Z41" s="525"/>
      <c r="AA41" s="525"/>
      <c r="AB41" s="525"/>
      <c r="AC41" s="525"/>
      <c r="AD41" s="525"/>
      <c r="AE41" s="525"/>
      <c r="AF41" s="525"/>
      <c r="AG41" s="525"/>
      <c r="AH41" s="525"/>
      <c r="AI41" s="525"/>
      <c r="AJ41" s="525"/>
      <c r="AK41" s="523"/>
      <c r="AL41" s="523"/>
      <c r="AM41" s="523"/>
      <c r="AN41" s="523"/>
      <c r="AO41" s="523"/>
      <c r="AP41" s="527" t="e">
        <f t="shared" si="12"/>
        <v>#N/A</v>
      </c>
      <c r="AQ41" s="527"/>
      <c r="AR41" s="527"/>
      <c r="AS41" s="527"/>
      <c r="AT41" s="527"/>
      <c r="AU41" s="527" t="str">
        <f t="shared" si="13"/>
        <v/>
      </c>
      <c r="AV41" s="527"/>
      <c r="AW41" s="527"/>
      <c r="AX41" s="527"/>
      <c r="AY41" s="528"/>
      <c r="CQ41" s="12">
        <f t="shared" si="9"/>
        <v>0</v>
      </c>
      <c r="CT41" s="9"/>
      <c r="CU41" s="9"/>
      <c r="CV41" s="9"/>
      <c r="CW41" s="9"/>
      <c r="CX41" s="9"/>
      <c r="CY41" s="9"/>
      <c r="CZ41" s="9"/>
    </row>
    <row r="42" spans="2:104" ht="13.05" customHeight="1" x14ac:dyDescent="0.2">
      <c r="B42" s="12" t="str">
        <f>IF(AK42&gt;0,IF(NOT(ISERROR(VLOOKUP(C42,$C$7:$AO$26,35,FALSE))),IF(VLOOKUP(C42,$C$7:AO23,35,FALSE)="",COUNT($B$7:$B$26)+COUNT($B$29:B41)+1,""),COUNT($B$7:$B$26)+COUNT($B$29:B41)+1),"")</f>
        <v/>
      </c>
      <c r="C42" s="524" t="e">
        <f t="shared" si="11"/>
        <v>#N/A</v>
      </c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3"/>
      <c r="AL42" s="523"/>
      <c r="AM42" s="523"/>
      <c r="AN42" s="523"/>
      <c r="AO42" s="523"/>
      <c r="AP42" s="527" t="e">
        <f t="shared" si="12"/>
        <v>#N/A</v>
      </c>
      <c r="AQ42" s="527"/>
      <c r="AR42" s="527"/>
      <c r="AS42" s="527"/>
      <c r="AT42" s="527"/>
      <c r="AU42" s="527" t="str">
        <f t="shared" si="13"/>
        <v/>
      </c>
      <c r="AV42" s="527"/>
      <c r="AW42" s="527"/>
      <c r="AX42" s="527"/>
      <c r="AY42" s="528"/>
      <c r="CQ42" s="12">
        <f t="shared" si="9"/>
        <v>0</v>
      </c>
      <c r="CT42" s="9"/>
      <c r="CU42" s="9"/>
      <c r="CV42" s="9"/>
      <c r="CW42" s="9"/>
      <c r="CX42" s="9"/>
      <c r="CY42" s="9"/>
      <c r="CZ42" s="9"/>
    </row>
    <row r="43" spans="2:104" ht="13.05" customHeight="1" x14ac:dyDescent="0.2">
      <c r="B43" s="12" t="str">
        <f>IF(AK43&gt;0,IF(NOT(ISERROR(VLOOKUP(C43,$C$7:$AO$26,35,FALSE))),IF(VLOOKUP(C43,$C$7:AO24,35,FALSE)="",COUNT($B$7:$B$26)+COUNT($B$29:B42)+1,""),COUNT($B$7:$B$26)+COUNT($B$29:B42)+1),"")</f>
        <v/>
      </c>
      <c r="C43" s="524" t="e">
        <f t="shared" si="11"/>
        <v>#N/A</v>
      </c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525"/>
      <c r="U43" s="525"/>
      <c r="V43" s="525"/>
      <c r="W43" s="525"/>
      <c r="X43" s="525"/>
      <c r="Y43" s="525"/>
      <c r="Z43" s="525"/>
      <c r="AA43" s="525"/>
      <c r="AB43" s="525"/>
      <c r="AC43" s="525"/>
      <c r="AD43" s="525"/>
      <c r="AE43" s="525"/>
      <c r="AF43" s="525"/>
      <c r="AG43" s="525"/>
      <c r="AH43" s="525"/>
      <c r="AI43" s="525"/>
      <c r="AJ43" s="525"/>
      <c r="AK43" s="523"/>
      <c r="AL43" s="523"/>
      <c r="AM43" s="523"/>
      <c r="AN43" s="523"/>
      <c r="AO43" s="523"/>
      <c r="AP43" s="527" t="e">
        <f t="shared" si="12"/>
        <v>#N/A</v>
      </c>
      <c r="AQ43" s="527"/>
      <c r="AR43" s="527"/>
      <c r="AS43" s="527"/>
      <c r="AT43" s="527"/>
      <c r="AU43" s="527" t="str">
        <f t="shared" si="13"/>
        <v/>
      </c>
      <c r="AV43" s="527"/>
      <c r="AW43" s="527"/>
      <c r="AX43" s="527"/>
      <c r="AY43" s="528"/>
      <c r="CQ43" s="12">
        <f t="shared" si="9"/>
        <v>0</v>
      </c>
      <c r="CT43" s="9"/>
      <c r="CU43" s="9"/>
      <c r="CV43" s="9"/>
      <c r="CW43" s="9"/>
      <c r="CX43" s="9"/>
      <c r="CY43" s="9"/>
      <c r="CZ43" s="9"/>
    </row>
    <row r="44" spans="2:104" ht="13.05" customHeight="1" x14ac:dyDescent="0.2">
      <c r="B44" s="12" t="str">
        <f>IF(AK44&gt;0,IF(NOT(ISERROR(VLOOKUP(C44,$C$7:$AO$26,35,FALSE))),IF(VLOOKUP(C44,$C$7:AO25,35,FALSE)="",COUNT($B$7:$B$26)+COUNT($B$29:B43)+1,""),COUNT($B$7:$B$26)+COUNT($B$29:B43)+1),"")</f>
        <v/>
      </c>
      <c r="C44" s="524" t="e">
        <f t="shared" si="11"/>
        <v>#N/A</v>
      </c>
      <c r="D44" s="525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  <c r="S44" s="525"/>
      <c r="T44" s="525"/>
      <c r="U44" s="525"/>
      <c r="V44" s="525"/>
      <c r="W44" s="525"/>
      <c r="X44" s="525"/>
      <c r="Y44" s="525"/>
      <c r="Z44" s="525"/>
      <c r="AA44" s="525"/>
      <c r="AB44" s="525"/>
      <c r="AC44" s="525"/>
      <c r="AD44" s="525"/>
      <c r="AE44" s="525"/>
      <c r="AF44" s="525"/>
      <c r="AG44" s="525"/>
      <c r="AH44" s="525"/>
      <c r="AI44" s="525"/>
      <c r="AJ44" s="525"/>
      <c r="AK44" s="523"/>
      <c r="AL44" s="523"/>
      <c r="AM44" s="523"/>
      <c r="AN44" s="523"/>
      <c r="AO44" s="523"/>
      <c r="AP44" s="527" t="e">
        <f t="shared" si="12"/>
        <v>#N/A</v>
      </c>
      <c r="AQ44" s="527"/>
      <c r="AR44" s="527"/>
      <c r="AS44" s="527"/>
      <c r="AT44" s="527"/>
      <c r="AU44" s="527" t="str">
        <f t="shared" si="13"/>
        <v/>
      </c>
      <c r="AV44" s="527"/>
      <c r="AW44" s="527"/>
      <c r="AX44" s="527"/>
      <c r="AY44" s="528"/>
      <c r="CQ44" s="12">
        <f t="shared" si="9"/>
        <v>0</v>
      </c>
      <c r="CT44" s="9"/>
      <c r="CU44" s="9"/>
      <c r="CV44" s="9"/>
      <c r="CW44" s="9"/>
      <c r="CX44" s="9"/>
      <c r="CY44" s="9"/>
      <c r="CZ44" s="9"/>
    </row>
    <row r="45" spans="2:104" ht="13.05" customHeight="1" x14ac:dyDescent="0.2">
      <c r="B45" s="12" t="str">
        <f>IF(AK45&gt;0,IF(NOT(ISERROR(VLOOKUP(C45,$C$7:$AO$26,35,FALSE))),IF(VLOOKUP(C45,$C$7:AO26,35,FALSE)="",COUNT($B$7:$B$26)+COUNT($B$29:B44)+1,""),COUNT($B$7:$B$26)+COUNT($B$29:B44)+1),"")</f>
        <v/>
      </c>
      <c r="C45" s="524" t="e">
        <f t="shared" si="11"/>
        <v>#N/A</v>
      </c>
      <c r="D45" s="525"/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  <c r="S45" s="525"/>
      <c r="T45" s="525"/>
      <c r="U45" s="525"/>
      <c r="V45" s="525"/>
      <c r="W45" s="525"/>
      <c r="X45" s="525"/>
      <c r="Y45" s="525"/>
      <c r="Z45" s="525"/>
      <c r="AA45" s="525"/>
      <c r="AB45" s="525"/>
      <c r="AC45" s="525"/>
      <c r="AD45" s="525"/>
      <c r="AE45" s="525"/>
      <c r="AF45" s="525"/>
      <c r="AG45" s="525"/>
      <c r="AH45" s="525"/>
      <c r="AI45" s="525"/>
      <c r="AJ45" s="525"/>
      <c r="AK45" s="523"/>
      <c r="AL45" s="523"/>
      <c r="AM45" s="523"/>
      <c r="AN45" s="523"/>
      <c r="AO45" s="523"/>
      <c r="AP45" s="527" t="e">
        <f t="shared" si="12"/>
        <v>#N/A</v>
      </c>
      <c r="AQ45" s="527"/>
      <c r="AR45" s="527"/>
      <c r="AS45" s="527"/>
      <c r="AT45" s="527"/>
      <c r="AU45" s="527" t="str">
        <f t="shared" si="13"/>
        <v/>
      </c>
      <c r="AV45" s="527"/>
      <c r="AW45" s="527"/>
      <c r="AX45" s="527"/>
      <c r="AY45" s="528"/>
      <c r="CQ45" s="12">
        <f t="shared" si="9"/>
        <v>0</v>
      </c>
      <c r="CT45" s="9"/>
      <c r="CU45" s="9"/>
      <c r="CV45" s="9"/>
      <c r="CW45" s="9"/>
      <c r="CX45" s="9"/>
      <c r="CY45" s="9"/>
      <c r="CZ45" s="9"/>
    </row>
    <row r="46" spans="2:104" ht="13.05" customHeight="1" x14ac:dyDescent="0.2">
      <c r="B46" s="12" t="str">
        <f>IF(AK46&gt;0,IF(NOT(ISERROR(VLOOKUP(C46,$C$7:$AO$26,35,FALSE))),IF(VLOOKUP(C46,$C$7:AO27,35,FALSE)="",COUNT($B$7:$B$26)+COUNT($B$29:B45)+1,""),COUNT($B$7:$B$26)+COUNT($B$29:B45)+1),"")</f>
        <v/>
      </c>
      <c r="C46" s="524" t="e">
        <f t="shared" si="11"/>
        <v>#N/A</v>
      </c>
      <c r="D46" s="525"/>
      <c r="E46" s="525"/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P46" s="525"/>
      <c r="Q46" s="525"/>
      <c r="R46" s="525"/>
      <c r="S46" s="525"/>
      <c r="T46" s="525"/>
      <c r="U46" s="525"/>
      <c r="V46" s="525"/>
      <c r="W46" s="525"/>
      <c r="X46" s="525"/>
      <c r="Y46" s="525"/>
      <c r="Z46" s="525"/>
      <c r="AA46" s="525"/>
      <c r="AB46" s="525"/>
      <c r="AC46" s="525"/>
      <c r="AD46" s="525"/>
      <c r="AE46" s="525"/>
      <c r="AF46" s="525"/>
      <c r="AG46" s="525"/>
      <c r="AH46" s="525"/>
      <c r="AI46" s="525"/>
      <c r="AJ46" s="525"/>
      <c r="AK46" s="523"/>
      <c r="AL46" s="523"/>
      <c r="AM46" s="523"/>
      <c r="AN46" s="523"/>
      <c r="AO46" s="523"/>
      <c r="AP46" s="527" t="e">
        <f t="shared" si="12"/>
        <v>#N/A</v>
      </c>
      <c r="AQ46" s="527"/>
      <c r="AR46" s="527"/>
      <c r="AS46" s="527"/>
      <c r="AT46" s="527"/>
      <c r="AU46" s="527" t="str">
        <f t="shared" si="13"/>
        <v/>
      </c>
      <c r="AV46" s="527"/>
      <c r="AW46" s="527"/>
      <c r="AX46" s="527"/>
      <c r="AY46" s="528"/>
      <c r="CQ46" s="12">
        <f t="shared" si="9"/>
        <v>0</v>
      </c>
      <c r="CT46" s="9"/>
      <c r="CU46" s="9"/>
      <c r="CV46" s="9"/>
      <c r="CW46" s="9"/>
      <c r="CX46" s="9"/>
      <c r="CY46" s="9"/>
      <c r="CZ46" s="9"/>
    </row>
    <row r="47" spans="2:104" ht="13.05" customHeight="1" x14ac:dyDescent="0.2">
      <c r="B47" s="12" t="str">
        <f>IF(AK47&gt;0,IF(NOT(ISERROR(VLOOKUP(C47,$C$7:$AO$26,35,FALSE))),IF(VLOOKUP(C47,$C$7:AO28,35,FALSE)="",COUNT($B$7:$B$26)+COUNT($B$29:B46)+1,""),COUNT($B$7:$B$26)+COUNT($B$29:B46)+1),"")</f>
        <v/>
      </c>
      <c r="C47" s="524" t="e">
        <f t="shared" si="11"/>
        <v>#N/A</v>
      </c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5"/>
      <c r="AE47" s="525"/>
      <c r="AF47" s="525"/>
      <c r="AG47" s="525"/>
      <c r="AH47" s="525"/>
      <c r="AI47" s="525"/>
      <c r="AJ47" s="525"/>
      <c r="AK47" s="523"/>
      <c r="AL47" s="523"/>
      <c r="AM47" s="523"/>
      <c r="AN47" s="523"/>
      <c r="AO47" s="523"/>
      <c r="AP47" s="527" t="e">
        <f t="shared" si="12"/>
        <v>#N/A</v>
      </c>
      <c r="AQ47" s="527"/>
      <c r="AR47" s="527"/>
      <c r="AS47" s="527"/>
      <c r="AT47" s="527"/>
      <c r="AU47" s="527" t="str">
        <f t="shared" si="13"/>
        <v/>
      </c>
      <c r="AV47" s="527"/>
      <c r="AW47" s="527"/>
      <c r="AX47" s="527"/>
      <c r="AY47" s="528"/>
      <c r="CQ47" s="12">
        <f t="shared" si="9"/>
        <v>0</v>
      </c>
      <c r="CT47" s="9"/>
      <c r="CU47" s="9"/>
      <c r="CV47" s="9"/>
      <c r="CW47" s="9"/>
      <c r="CX47" s="9"/>
      <c r="CY47" s="9"/>
      <c r="CZ47" s="9"/>
    </row>
    <row r="48" spans="2:104" ht="13.05" customHeight="1" thickBot="1" x14ac:dyDescent="0.25">
      <c r="B48" s="12" t="str">
        <f>IF(AK48&gt;0,IF(NOT(ISERROR(VLOOKUP(C48,$C$7:$AO$26,35,FALSE))),IF(VLOOKUP(C48,$C$7:AO29,35,FALSE)="",COUNT($B$7:$B$26)+COUNT($B$29:B47)+1,""),COUNT($B$7:$B$26)+COUNT($B$29:B47)+1),"")</f>
        <v/>
      </c>
      <c r="C48" s="520" t="e">
        <f t="shared" si="11"/>
        <v>#N/A</v>
      </c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521"/>
      <c r="R48" s="521"/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521"/>
      <c r="AF48" s="521"/>
      <c r="AG48" s="521"/>
      <c r="AH48" s="521"/>
      <c r="AI48" s="521"/>
      <c r="AJ48" s="521"/>
      <c r="AK48" s="471"/>
      <c r="AL48" s="471"/>
      <c r="AM48" s="471"/>
      <c r="AN48" s="471"/>
      <c r="AO48" s="471"/>
      <c r="AP48" s="529" t="e">
        <f t="shared" si="12"/>
        <v>#N/A</v>
      </c>
      <c r="AQ48" s="529"/>
      <c r="AR48" s="529"/>
      <c r="AS48" s="529"/>
      <c r="AT48" s="529"/>
      <c r="AU48" s="529" t="str">
        <f t="shared" si="13"/>
        <v/>
      </c>
      <c r="AV48" s="529"/>
      <c r="AW48" s="529"/>
      <c r="AX48" s="529"/>
      <c r="AY48" s="530"/>
      <c r="CQ48" s="12">
        <f t="shared" si="9"/>
        <v>0</v>
      </c>
      <c r="CT48" s="9"/>
      <c r="CU48" s="9"/>
      <c r="CV48" s="9"/>
      <c r="CW48" s="9"/>
      <c r="CX48" s="9"/>
      <c r="CY48" s="9"/>
      <c r="CZ48" s="9"/>
    </row>
    <row r="49" spans="98:104" ht="13.05" customHeight="1" x14ac:dyDescent="0.2">
      <c r="CT49" s="9"/>
      <c r="CU49" s="9"/>
      <c r="CV49" s="9"/>
      <c r="CW49" s="9"/>
      <c r="CX49" s="9"/>
      <c r="CY49" s="9"/>
      <c r="CZ49" s="9"/>
    </row>
    <row r="50" spans="98:104" ht="13.05" customHeight="1" x14ac:dyDescent="0.2">
      <c r="CT50" s="9"/>
      <c r="CU50" s="9"/>
      <c r="CV50" s="9"/>
      <c r="CW50" s="9"/>
      <c r="CX50" s="9"/>
      <c r="CY50" s="9"/>
      <c r="CZ50" s="9"/>
    </row>
    <row r="51" spans="98:104" ht="13.05" customHeight="1" x14ac:dyDescent="0.2">
      <c r="CT51" s="9"/>
      <c r="CU51" s="9"/>
      <c r="CV51" s="9"/>
      <c r="CW51" s="9"/>
      <c r="CX51" s="9"/>
      <c r="CY51" s="9"/>
      <c r="CZ51" s="9"/>
    </row>
    <row r="52" spans="98:104" ht="13.05" customHeight="1" x14ac:dyDescent="0.2">
      <c r="CT52" s="9"/>
      <c r="CU52" s="9"/>
      <c r="CV52" s="9"/>
      <c r="CW52" s="9"/>
      <c r="CX52" s="9"/>
      <c r="CY52" s="9"/>
      <c r="CZ52" s="9"/>
    </row>
    <row r="53" spans="98:104" ht="13.05" customHeight="1" x14ac:dyDescent="0.2">
      <c r="CT53" s="9"/>
      <c r="CU53" s="9"/>
      <c r="CV53" s="9"/>
      <c r="CW53" s="9"/>
      <c r="CX53" s="9"/>
      <c r="CY53" s="9"/>
      <c r="CZ53" s="9"/>
    </row>
    <row r="54" spans="98:104" ht="13.05" customHeight="1" x14ac:dyDescent="0.2">
      <c r="CT54" s="9"/>
      <c r="CU54" s="9"/>
      <c r="CV54" s="9"/>
      <c r="CW54" s="9"/>
      <c r="CX54" s="9"/>
      <c r="CY54" s="9"/>
      <c r="CZ54" s="9"/>
    </row>
    <row r="55" spans="98:104" ht="13.05" customHeight="1" x14ac:dyDescent="0.2">
      <c r="CT55" s="9"/>
      <c r="CU55" s="9"/>
      <c r="CV55" s="9"/>
      <c r="CW55" s="9"/>
      <c r="CX55" s="9"/>
      <c r="CY55" s="9"/>
      <c r="CZ55" s="9"/>
    </row>
    <row r="56" spans="98:104" ht="13.05" customHeight="1" x14ac:dyDescent="0.2">
      <c r="CT56" s="9"/>
      <c r="CU56" s="9"/>
      <c r="CV56" s="9"/>
      <c r="CW56" s="9"/>
      <c r="CX56" s="9"/>
      <c r="CY56" s="9"/>
      <c r="CZ56" s="9"/>
    </row>
    <row r="57" spans="98:104" ht="13.05" customHeight="1" x14ac:dyDescent="0.2">
      <c r="CT57" s="9"/>
      <c r="CU57" s="9"/>
      <c r="CV57" s="9"/>
      <c r="CW57" s="9"/>
      <c r="CX57" s="9"/>
      <c r="CY57" s="9"/>
      <c r="CZ57" s="9"/>
    </row>
    <row r="58" spans="98:104" ht="13.05" customHeight="1" x14ac:dyDescent="0.2">
      <c r="CT58" s="9"/>
      <c r="CU58" s="9"/>
      <c r="CV58" s="9"/>
      <c r="CW58" s="9"/>
      <c r="CX58" s="9"/>
      <c r="CY58" s="9"/>
      <c r="CZ58" s="9"/>
    </row>
    <row r="59" spans="98:104" ht="13.05" customHeight="1" x14ac:dyDescent="0.2">
      <c r="CT59" s="9"/>
      <c r="CU59" s="9"/>
      <c r="CV59" s="9"/>
      <c r="CW59" s="9"/>
      <c r="CX59" s="9"/>
      <c r="CY59" s="9"/>
      <c r="CZ59" s="9"/>
    </row>
    <row r="60" spans="98:104" ht="13.05" customHeight="1" x14ac:dyDescent="0.2">
      <c r="CT60" s="9"/>
      <c r="CU60" s="9"/>
      <c r="CV60" s="9"/>
      <c r="CW60" s="9"/>
      <c r="CX60" s="9"/>
      <c r="CY60" s="9"/>
      <c r="CZ60" s="9"/>
    </row>
    <row r="61" spans="98:104" ht="13.05" customHeight="1" x14ac:dyDescent="0.2">
      <c r="CT61" s="9"/>
      <c r="CU61" s="9"/>
      <c r="CV61" s="9"/>
      <c r="CW61" s="9"/>
      <c r="CX61" s="9"/>
      <c r="CY61" s="9"/>
      <c r="CZ61" s="9"/>
    </row>
    <row r="62" spans="98:104" ht="13.05" customHeight="1" x14ac:dyDescent="0.2">
      <c r="CT62" s="9"/>
      <c r="CU62" s="9"/>
      <c r="CV62" s="9"/>
      <c r="CW62" s="9"/>
      <c r="CX62" s="9"/>
      <c r="CY62" s="9"/>
      <c r="CZ62" s="9"/>
    </row>
    <row r="63" spans="98:104" ht="13.05" customHeight="1" x14ac:dyDescent="0.2">
      <c r="CT63" s="9"/>
      <c r="CU63" s="9"/>
      <c r="CV63" s="9"/>
      <c r="CW63" s="9"/>
      <c r="CX63" s="9"/>
      <c r="CY63" s="9"/>
      <c r="CZ63" s="9"/>
    </row>
    <row r="64" spans="98:104" ht="13.05" customHeight="1" x14ac:dyDescent="0.2">
      <c r="CT64" s="9"/>
      <c r="CU64" s="9"/>
      <c r="CV64" s="9"/>
      <c r="CW64" s="9"/>
      <c r="CX64" s="9"/>
      <c r="CY64" s="9"/>
      <c r="CZ64" s="9"/>
    </row>
    <row r="65" spans="98:104" ht="13.05" customHeight="1" x14ac:dyDescent="0.2">
      <c r="CT65" s="9"/>
      <c r="CU65" s="9"/>
      <c r="CV65" s="9"/>
      <c r="CW65" s="9"/>
      <c r="CX65" s="9"/>
      <c r="CY65" s="9"/>
      <c r="CZ65" s="9"/>
    </row>
    <row r="66" spans="98:104" ht="13.05" customHeight="1" x14ac:dyDescent="0.2">
      <c r="CT66" s="9"/>
      <c r="CU66" s="9"/>
      <c r="CV66" s="9"/>
      <c r="CW66" s="9"/>
      <c r="CX66" s="9"/>
      <c r="CY66" s="9"/>
      <c r="CZ66" s="9"/>
    </row>
    <row r="67" spans="98:104" ht="13.05" customHeight="1" x14ac:dyDescent="0.2">
      <c r="CT67" s="9"/>
      <c r="CU67" s="9"/>
      <c r="CV67" s="9"/>
      <c r="CW67" s="9"/>
      <c r="CX67" s="9"/>
      <c r="CY67" s="9"/>
      <c r="CZ67" s="9"/>
    </row>
    <row r="68" spans="98:104" ht="13.05" customHeight="1" x14ac:dyDescent="0.2">
      <c r="CT68" s="9"/>
      <c r="CU68" s="9"/>
      <c r="CV68" s="9"/>
      <c r="CW68" s="9"/>
      <c r="CX68" s="9"/>
      <c r="CY68" s="9"/>
      <c r="CZ68" s="9"/>
    </row>
    <row r="69" spans="98:104" ht="13.05" customHeight="1" x14ac:dyDescent="0.2">
      <c r="CT69" s="9"/>
      <c r="CU69" s="9"/>
      <c r="CV69" s="9"/>
      <c r="CW69" s="9"/>
      <c r="CX69" s="9"/>
      <c r="CY69" s="9"/>
      <c r="CZ69" s="9"/>
    </row>
    <row r="70" spans="98:104" ht="13.05" customHeight="1" x14ac:dyDescent="0.2">
      <c r="CT70" s="9"/>
      <c r="CU70" s="9"/>
      <c r="CV70" s="9"/>
      <c r="CW70" s="9"/>
      <c r="CX70" s="9"/>
      <c r="CY70" s="9"/>
      <c r="CZ70" s="9"/>
    </row>
    <row r="71" spans="98:104" ht="13.05" customHeight="1" x14ac:dyDescent="0.2">
      <c r="CT71" s="9"/>
      <c r="CU71" s="9"/>
      <c r="CV71" s="9"/>
      <c r="CW71" s="9"/>
      <c r="CX71" s="9"/>
      <c r="CY71" s="9"/>
      <c r="CZ71" s="9"/>
    </row>
    <row r="72" spans="98:104" ht="13.05" customHeight="1" x14ac:dyDescent="0.2">
      <c r="CT72" s="9"/>
      <c r="CU72" s="9"/>
      <c r="CV72" s="9"/>
      <c r="CW72" s="9"/>
      <c r="CX72" s="9"/>
      <c r="CY72" s="9"/>
      <c r="CZ72" s="9"/>
    </row>
    <row r="73" spans="98:104" ht="13.05" customHeight="1" x14ac:dyDescent="0.2">
      <c r="CT73" s="9"/>
      <c r="CU73" s="9"/>
      <c r="CV73" s="9"/>
      <c r="CW73" s="9"/>
      <c r="CX73" s="9"/>
      <c r="CY73" s="9"/>
      <c r="CZ73" s="9"/>
    </row>
    <row r="74" spans="98:104" ht="13.05" customHeight="1" x14ac:dyDescent="0.2">
      <c r="CT74" s="9"/>
      <c r="CU74" s="9"/>
      <c r="CV74" s="9"/>
      <c r="CW74" s="9"/>
      <c r="CX74" s="9"/>
      <c r="CY74" s="9"/>
      <c r="CZ74" s="9"/>
    </row>
    <row r="75" spans="98:104" ht="13.05" customHeight="1" x14ac:dyDescent="0.2">
      <c r="CT75" s="9"/>
      <c r="CU75" s="9"/>
      <c r="CV75" s="9"/>
      <c r="CW75" s="9"/>
      <c r="CX75" s="9"/>
      <c r="CY75" s="9"/>
      <c r="CZ75" s="9"/>
    </row>
    <row r="76" spans="98:104" ht="13.05" customHeight="1" x14ac:dyDescent="0.2">
      <c r="CT76" s="9"/>
      <c r="CU76" s="9"/>
      <c r="CV76" s="9"/>
      <c r="CW76" s="9"/>
      <c r="CX76" s="9"/>
      <c r="CY76" s="9"/>
      <c r="CZ76" s="9"/>
    </row>
    <row r="77" spans="98:104" ht="13.05" customHeight="1" x14ac:dyDescent="0.2">
      <c r="CT77" s="9"/>
      <c r="CU77" s="9"/>
      <c r="CV77" s="9"/>
      <c r="CW77" s="9"/>
      <c r="CX77" s="9"/>
      <c r="CY77" s="9"/>
      <c r="CZ77" s="9"/>
    </row>
    <row r="78" spans="98:104" ht="13.05" customHeight="1" x14ac:dyDescent="0.2">
      <c r="CT78" s="9"/>
      <c r="CU78" s="9"/>
      <c r="CV78" s="9"/>
      <c r="CW78" s="9"/>
      <c r="CX78" s="9"/>
      <c r="CY78" s="9"/>
      <c r="CZ78" s="9"/>
    </row>
    <row r="79" spans="98:104" ht="13.05" customHeight="1" x14ac:dyDescent="0.2">
      <c r="CT79" s="9"/>
      <c r="CU79" s="9"/>
      <c r="CV79" s="9"/>
      <c r="CW79" s="9"/>
      <c r="CX79" s="9"/>
      <c r="CY79" s="9"/>
      <c r="CZ79" s="9"/>
    </row>
    <row r="80" spans="98:104" ht="13.05" customHeight="1" x14ac:dyDescent="0.2">
      <c r="CT80" s="9"/>
      <c r="CU80" s="9"/>
      <c r="CV80" s="9"/>
      <c r="CW80" s="9"/>
      <c r="CX80" s="9"/>
      <c r="CY80" s="9"/>
      <c r="CZ80" s="9"/>
    </row>
    <row r="81" spans="98:104" ht="13.05" customHeight="1" x14ac:dyDescent="0.2">
      <c r="CT81" s="9"/>
      <c r="CU81" s="9"/>
      <c r="CV81" s="9"/>
      <c r="CW81" s="9"/>
      <c r="CX81" s="9"/>
      <c r="CY81" s="9"/>
      <c r="CZ81" s="9"/>
    </row>
    <row r="82" spans="98:104" ht="13.05" customHeight="1" x14ac:dyDescent="0.2">
      <c r="CT82" s="9"/>
      <c r="CU82" s="9"/>
      <c r="CV82" s="9"/>
      <c r="CW82" s="9"/>
      <c r="CX82" s="9"/>
      <c r="CY82" s="9"/>
      <c r="CZ82" s="9"/>
    </row>
    <row r="83" spans="98:104" ht="13.05" customHeight="1" x14ac:dyDescent="0.2">
      <c r="CT83" s="9"/>
      <c r="CU83" s="9"/>
      <c r="CV83" s="9"/>
      <c r="CW83" s="9"/>
      <c r="CX83" s="9"/>
      <c r="CY83" s="9"/>
      <c r="CZ83" s="9"/>
    </row>
    <row r="84" spans="98:104" ht="13.05" customHeight="1" x14ac:dyDescent="0.2">
      <c r="CT84" s="9"/>
      <c r="CU84" s="9"/>
      <c r="CV84" s="9"/>
      <c r="CW84" s="9"/>
      <c r="CX84" s="9"/>
      <c r="CY84" s="9"/>
      <c r="CZ84" s="9"/>
    </row>
    <row r="85" spans="98:104" ht="13.05" customHeight="1" x14ac:dyDescent="0.2">
      <c r="CT85" s="9"/>
      <c r="CU85" s="9"/>
      <c r="CV85" s="9"/>
      <c r="CW85" s="9"/>
      <c r="CX85" s="9"/>
      <c r="CY85" s="9"/>
      <c r="CZ85" s="9"/>
    </row>
    <row r="86" spans="98:104" ht="13.05" customHeight="1" x14ac:dyDescent="0.2">
      <c r="CT86" s="9"/>
      <c r="CU86" s="9"/>
      <c r="CV86" s="9"/>
      <c r="CW86" s="9"/>
      <c r="CX86" s="9"/>
      <c r="CY86" s="9"/>
      <c r="CZ86" s="9"/>
    </row>
    <row r="87" spans="98:104" ht="13.05" customHeight="1" x14ac:dyDescent="0.2">
      <c r="CT87" s="9"/>
      <c r="CU87" s="9"/>
      <c r="CV87" s="9"/>
      <c r="CW87" s="9"/>
      <c r="CX87" s="9"/>
      <c r="CY87" s="9"/>
      <c r="CZ87" s="9"/>
    </row>
    <row r="88" spans="98:104" ht="13.05" customHeight="1" x14ac:dyDescent="0.2">
      <c r="CT88" s="9"/>
      <c r="CU88" s="9"/>
      <c r="CV88" s="9"/>
      <c r="CW88" s="9"/>
      <c r="CX88" s="9"/>
      <c r="CY88" s="9"/>
      <c r="CZ88" s="9"/>
    </row>
    <row r="89" spans="98:104" ht="13.05" customHeight="1" x14ac:dyDescent="0.2">
      <c r="CT89" s="9"/>
      <c r="CU89" s="9"/>
      <c r="CV89" s="9"/>
      <c r="CW89" s="9"/>
      <c r="CX89" s="9"/>
      <c r="CY89" s="9"/>
      <c r="CZ89" s="9"/>
    </row>
    <row r="90" spans="98:104" ht="13.05" customHeight="1" x14ac:dyDescent="0.2">
      <c r="CT90" s="9"/>
      <c r="CU90" s="9"/>
      <c r="CV90" s="9"/>
      <c r="CW90" s="9"/>
      <c r="CX90" s="9"/>
      <c r="CY90" s="9"/>
      <c r="CZ90" s="9"/>
    </row>
    <row r="91" spans="98:104" ht="13.05" customHeight="1" x14ac:dyDescent="0.2">
      <c r="CT91" s="9"/>
      <c r="CU91" s="9"/>
      <c r="CV91" s="9"/>
      <c r="CW91" s="9"/>
      <c r="CX91" s="9"/>
      <c r="CY91" s="9"/>
      <c r="CZ91" s="9"/>
    </row>
    <row r="92" spans="98:104" ht="13.05" customHeight="1" x14ac:dyDescent="0.2">
      <c r="CT92" s="9"/>
      <c r="CU92" s="9"/>
      <c r="CV92" s="9"/>
      <c r="CW92" s="9"/>
      <c r="CX92" s="9"/>
      <c r="CY92" s="9"/>
      <c r="CZ92" s="9"/>
    </row>
    <row r="93" spans="98:104" ht="13.05" customHeight="1" x14ac:dyDescent="0.2">
      <c r="CT93" s="9"/>
      <c r="CU93" s="9"/>
      <c r="CV93" s="9"/>
      <c r="CW93" s="9"/>
      <c r="CX93" s="9"/>
      <c r="CY93" s="9"/>
      <c r="CZ93" s="9"/>
    </row>
    <row r="94" spans="98:104" ht="13.05" customHeight="1" x14ac:dyDescent="0.2">
      <c r="CT94" s="9"/>
      <c r="CU94" s="9"/>
      <c r="CV94" s="9"/>
      <c r="CW94" s="9"/>
      <c r="CX94" s="9"/>
      <c r="CY94" s="9"/>
      <c r="CZ94" s="9"/>
    </row>
    <row r="95" spans="98:104" ht="13.05" customHeight="1" x14ac:dyDescent="0.2">
      <c r="CT95" s="9"/>
      <c r="CU95" s="9"/>
      <c r="CV95" s="9"/>
      <c r="CW95" s="9"/>
      <c r="CX95" s="9"/>
      <c r="CY95" s="9"/>
      <c r="CZ95" s="9"/>
    </row>
    <row r="96" spans="98:104" ht="13.05" customHeight="1" x14ac:dyDescent="0.2">
      <c r="CT96" s="9"/>
      <c r="CU96" s="9"/>
      <c r="CV96" s="9"/>
      <c r="CW96" s="9"/>
      <c r="CX96" s="9"/>
      <c r="CY96" s="9"/>
      <c r="CZ96" s="9"/>
    </row>
    <row r="97" spans="98:104" ht="13.05" customHeight="1" x14ac:dyDescent="0.2">
      <c r="CT97" s="9"/>
      <c r="CU97" s="9"/>
      <c r="CV97" s="9"/>
      <c r="CW97" s="9"/>
      <c r="CX97" s="9"/>
      <c r="CY97" s="9"/>
      <c r="CZ97" s="9"/>
    </row>
    <row r="98" spans="98:104" ht="13.05" customHeight="1" x14ac:dyDescent="0.2">
      <c r="CT98" s="9"/>
      <c r="CU98" s="9"/>
      <c r="CV98" s="9"/>
      <c r="CW98" s="9"/>
      <c r="CX98" s="9"/>
      <c r="CY98" s="9"/>
      <c r="CZ98" s="9"/>
    </row>
    <row r="99" spans="98:104" ht="13.05" customHeight="1" x14ac:dyDescent="0.2">
      <c r="CT99" s="9"/>
      <c r="CU99" s="9"/>
      <c r="CV99" s="9"/>
      <c r="CW99" s="9"/>
      <c r="CX99" s="9"/>
      <c r="CY99" s="9"/>
      <c r="CZ99" s="9"/>
    </row>
    <row r="100" spans="98:104" ht="13.05" customHeight="1" x14ac:dyDescent="0.2">
      <c r="CT100" s="9"/>
      <c r="CU100" s="9"/>
      <c r="CV100" s="9"/>
      <c r="CW100" s="9"/>
      <c r="CX100" s="9"/>
      <c r="CY100" s="9"/>
      <c r="CZ100" s="9"/>
    </row>
    <row r="101" spans="98:104" ht="13.05" customHeight="1" x14ac:dyDescent="0.2">
      <c r="CT101" s="9"/>
      <c r="CU101" s="9"/>
      <c r="CV101" s="9"/>
      <c r="CW101" s="9"/>
      <c r="CX101" s="9"/>
      <c r="CY101" s="9"/>
      <c r="CZ101" s="9"/>
    </row>
    <row r="102" spans="98:104" ht="13.05" customHeight="1" x14ac:dyDescent="0.2">
      <c r="CT102" s="9"/>
      <c r="CU102" s="9"/>
      <c r="CV102" s="9"/>
      <c r="CW102" s="9"/>
      <c r="CX102" s="9"/>
      <c r="CY102" s="9"/>
      <c r="CZ102" s="9"/>
    </row>
    <row r="103" spans="98:104" ht="13.05" customHeight="1" x14ac:dyDescent="0.2">
      <c r="CT103" s="9"/>
      <c r="CU103" s="9"/>
      <c r="CV103" s="9"/>
      <c r="CW103" s="9"/>
      <c r="CX103" s="9"/>
      <c r="CY103" s="9"/>
      <c r="CZ103" s="9"/>
    </row>
    <row r="104" spans="98:104" ht="13.05" customHeight="1" x14ac:dyDescent="0.2">
      <c r="CT104" s="9"/>
      <c r="CU104" s="9"/>
      <c r="CV104" s="9"/>
      <c r="CW104" s="9"/>
      <c r="CX104" s="9"/>
      <c r="CY104" s="9"/>
      <c r="CZ104" s="9"/>
    </row>
    <row r="105" spans="98:104" ht="13.05" customHeight="1" x14ac:dyDescent="0.2">
      <c r="CT105" s="9"/>
      <c r="CU105" s="9"/>
      <c r="CV105" s="9"/>
      <c r="CW105" s="9"/>
      <c r="CX105" s="9"/>
      <c r="CY105" s="9"/>
      <c r="CZ105" s="9"/>
    </row>
    <row r="106" spans="98:104" ht="13.05" customHeight="1" x14ac:dyDescent="0.2">
      <c r="CT106" s="9"/>
      <c r="CU106" s="9"/>
      <c r="CV106" s="9"/>
      <c r="CW106" s="9"/>
      <c r="CX106" s="9"/>
      <c r="CY106" s="9"/>
      <c r="CZ106" s="9"/>
    </row>
    <row r="107" spans="98:104" ht="13.05" customHeight="1" x14ac:dyDescent="0.2">
      <c r="CT107" s="9"/>
      <c r="CU107" s="9"/>
      <c r="CV107" s="9"/>
      <c r="CW107" s="9"/>
      <c r="CX107" s="9"/>
      <c r="CY107" s="9"/>
      <c r="CZ107" s="9"/>
    </row>
    <row r="108" spans="98:104" ht="13.05" customHeight="1" x14ac:dyDescent="0.2">
      <c r="CT108" s="9"/>
      <c r="CU108" s="9"/>
      <c r="CV108" s="9"/>
      <c r="CW108" s="9"/>
      <c r="CX108" s="9"/>
      <c r="CY108" s="9"/>
      <c r="CZ108" s="9"/>
    </row>
    <row r="109" spans="98:104" ht="13.05" customHeight="1" x14ac:dyDescent="0.2">
      <c r="CT109" s="9"/>
      <c r="CU109" s="9"/>
      <c r="CV109" s="9"/>
      <c r="CW109" s="9"/>
      <c r="CX109" s="9"/>
      <c r="CY109" s="9"/>
      <c r="CZ109" s="9"/>
    </row>
    <row r="110" spans="98:104" ht="13.05" customHeight="1" x14ac:dyDescent="0.2">
      <c r="CT110" s="9"/>
      <c r="CU110" s="9"/>
      <c r="CV110" s="9"/>
      <c r="CW110" s="9"/>
      <c r="CX110" s="9"/>
      <c r="CY110" s="9"/>
      <c r="CZ110" s="9"/>
    </row>
    <row r="111" spans="98:104" ht="13.05" customHeight="1" x14ac:dyDescent="0.2">
      <c r="CT111" s="9"/>
      <c r="CU111" s="9"/>
      <c r="CV111" s="9"/>
      <c r="CW111" s="9"/>
      <c r="CX111" s="9"/>
      <c r="CY111" s="9"/>
      <c r="CZ111" s="9"/>
    </row>
    <row r="112" spans="98:104" ht="13.05" customHeight="1" x14ac:dyDescent="0.2">
      <c r="CT112" s="9"/>
      <c r="CU112" s="9"/>
      <c r="CV112" s="9"/>
      <c r="CW112" s="9"/>
      <c r="CX112" s="9"/>
      <c r="CY112" s="9"/>
      <c r="CZ112" s="9"/>
    </row>
    <row r="113" spans="98:104" ht="13.05" customHeight="1" x14ac:dyDescent="0.2">
      <c r="CT113" s="9"/>
      <c r="CU113" s="9"/>
      <c r="CV113" s="9"/>
      <c r="CW113" s="9"/>
      <c r="CX113" s="9"/>
      <c r="CY113" s="9"/>
      <c r="CZ113" s="9"/>
    </row>
    <row r="114" spans="98:104" ht="13.05" customHeight="1" x14ac:dyDescent="0.2">
      <c r="CT114" s="9"/>
      <c r="CU114" s="9"/>
      <c r="CV114" s="9"/>
      <c r="CW114" s="9"/>
      <c r="CX114" s="9"/>
      <c r="CY114" s="9"/>
      <c r="CZ114" s="9"/>
    </row>
    <row r="115" spans="98:104" ht="13.05" customHeight="1" x14ac:dyDescent="0.2">
      <c r="CT115" s="9"/>
      <c r="CU115" s="9"/>
      <c r="CV115" s="9"/>
      <c r="CW115" s="9"/>
      <c r="CX115" s="9"/>
      <c r="CY115" s="9"/>
      <c r="CZ115" s="9"/>
    </row>
    <row r="116" spans="98:104" ht="13.05" customHeight="1" x14ac:dyDescent="0.2">
      <c r="CT116" s="9"/>
      <c r="CU116" s="9"/>
      <c r="CV116" s="9"/>
      <c r="CW116" s="9"/>
      <c r="CX116" s="9"/>
      <c r="CY116" s="9"/>
      <c r="CZ116" s="9"/>
    </row>
    <row r="117" spans="98:104" ht="13.05" customHeight="1" x14ac:dyDescent="0.2">
      <c r="CT117" s="9"/>
      <c r="CU117" s="9"/>
      <c r="CV117" s="9"/>
      <c r="CW117" s="9"/>
      <c r="CX117" s="9"/>
      <c r="CY117" s="9"/>
      <c r="CZ117" s="9"/>
    </row>
    <row r="118" spans="98:104" ht="13.05" customHeight="1" x14ac:dyDescent="0.2">
      <c r="CT118" s="9"/>
      <c r="CU118" s="9"/>
      <c r="CV118" s="9"/>
      <c r="CW118" s="9"/>
      <c r="CX118" s="9"/>
      <c r="CY118" s="9"/>
      <c r="CZ118" s="9"/>
    </row>
    <row r="119" spans="98:104" ht="13.05" customHeight="1" x14ac:dyDescent="0.2">
      <c r="CT119" s="9"/>
      <c r="CU119" s="9"/>
      <c r="CV119" s="9"/>
      <c r="CW119" s="9"/>
      <c r="CX119" s="9"/>
      <c r="CY119" s="9"/>
      <c r="CZ119" s="9"/>
    </row>
    <row r="120" spans="98:104" ht="13.05" customHeight="1" x14ac:dyDescent="0.2">
      <c r="CT120" s="9"/>
      <c r="CU120" s="9"/>
      <c r="CV120" s="9"/>
      <c r="CW120" s="9"/>
      <c r="CX120" s="9"/>
      <c r="CY120" s="9"/>
      <c r="CZ120" s="9"/>
    </row>
    <row r="121" spans="98:104" ht="13.05" customHeight="1" x14ac:dyDescent="0.2">
      <c r="CT121" s="9"/>
      <c r="CU121" s="9"/>
      <c r="CV121" s="9"/>
      <c r="CW121" s="9"/>
      <c r="CX121" s="9"/>
      <c r="CY121" s="9"/>
      <c r="CZ121" s="9"/>
    </row>
    <row r="122" spans="98:104" ht="13.05" customHeight="1" x14ac:dyDescent="0.2">
      <c r="CT122" s="9"/>
      <c r="CU122" s="9"/>
      <c r="CV122" s="9"/>
      <c r="CW122" s="9"/>
      <c r="CX122" s="9"/>
      <c r="CY122" s="9"/>
      <c r="CZ122" s="9"/>
    </row>
    <row r="123" spans="98:104" ht="13.05" customHeight="1" x14ac:dyDescent="0.2">
      <c r="CT123" s="9"/>
      <c r="CU123" s="9"/>
      <c r="CV123" s="9"/>
      <c r="CW123" s="9"/>
      <c r="CX123" s="9"/>
      <c r="CY123" s="9"/>
      <c r="CZ123" s="9"/>
    </row>
    <row r="124" spans="98:104" ht="13.05" customHeight="1" x14ac:dyDescent="0.2">
      <c r="CT124" s="9"/>
      <c r="CU124" s="9"/>
      <c r="CV124" s="9"/>
      <c r="CW124" s="9"/>
      <c r="CX124" s="9"/>
      <c r="CY124" s="9"/>
      <c r="CZ124" s="9"/>
    </row>
    <row r="125" spans="98:104" ht="13.05" customHeight="1" x14ac:dyDescent="0.2">
      <c r="CT125" s="9"/>
      <c r="CU125" s="9"/>
      <c r="CV125" s="9"/>
      <c r="CW125" s="9"/>
      <c r="CX125" s="9"/>
      <c r="CY125" s="9"/>
      <c r="CZ125" s="9"/>
    </row>
    <row r="126" spans="98:104" ht="13.05" customHeight="1" x14ac:dyDescent="0.2">
      <c r="CT126" s="9"/>
      <c r="CU126" s="9"/>
      <c r="CV126" s="9"/>
      <c r="CW126" s="9"/>
      <c r="CX126" s="9"/>
      <c r="CY126" s="9"/>
      <c r="CZ126" s="9"/>
    </row>
    <row r="127" spans="98:104" ht="13.05" customHeight="1" x14ac:dyDescent="0.2">
      <c r="CT127" s="9"/>
      <c r="CU127" s="9"/>
      <c r="CV127" s="9"/>
      <c r="CW127" s="9"/>
      <c r="CX127" s="9"/>
      <c r="CY127" s="9"/>
      <c r="CZ127" s="9"/>
    </row>
    <row r="128" spans="98:104" ht="13.05" customHeight="1" x14ac:dyDescent="0.2">
      <c r="CT128" s="9"/>
      <c r="CU128" s="9"/>
      <c r="CV128" s="9"/>
      <c r="CW128" s="9"/>
      <c r="CX128" s="9"/>
      <c r="CY128" s="9"/>
      <c r="CZ128" s="9"/>
    </row>
    <row r="129" spans="98:104" ht="13.05" customHeight="1" x14ac:dyDescent="0.2">
      <c r="CT129" s="9"/>
      <c r="CU129" s="9"/>
      <c r="CV129" s="9"/>
      <c r="CW129" s="9"/>
      <c r="CX129" s="9"/>
      <c r="CY129" s="9"/>
      <c r="CZ129" s="9"/>
    </row>
    <row r="130" spans="98:104" ht="13.05" customHeight="1" x14ac:dyDescent="0.2">
      <c r="CT130" s="9"/>
      <c r="CU130" s="9"/>
      <c r="CV130" s="9"/>
      <c r="CW130" s="9"/>
      <c r="CX130" s="9"/>
      <c r="CY130" s="9"/>
      <c r="CZ130" s="9"/>
    </row>
    <row r="131" spans="98:104" x14ac:dyDescent="0.2">
      <c r="CT131" s="9"/>
      <c r="CU131" s="9"/>
      <c r="CV131" s="9"/>
      <c r="CW131" s="9"/>
      <c r="CX131" s="9"/>
      <c r="CY131" s="9"/>
      <c r="CZ131" s="9"/>
    </row>
    <row r="132" spans="98:104" x14ac:dyDescent="0.2">
      <c r="CT132" s="9"/>
      <c r="CU132" s="9"/>
      <c r="CV132" s="9"/>
      <c r="CW132" s="9"/>
      <c r="CX132" s="9"/>
      <c r="CY132" s="9"/>
      <c r="CZ132" s="9"/>
    </row>
    <row r="133" spans="98:104" x14ac:dyDescent="0.2">
      <c r="CT133" s="9"/>
      <c r="CU133" s="9"/>
      <c r="CV133" s="9"/>
      <c r="CW133" s="9"/>
      <c r="CX133" s="9"/>
      <c r="CY133" s="9"/>
      <c r="CZ133" s="9"/>
    </row>
    <row r="134" spans="98:104" x14ac:dyDescent="0.2">
      <c r="CT134" s="9"/>
      <c r="CU134" s="9"/>
      <c r="CV134" s="9"/>
      <c r="CW134" s="9"/>
      <c r="CX134" s="9"/>
      <c r="CY134" s="9"/>
      <c r="CZ134" s="9"/>
    </row>
    <row r="135" spans="98:104" x14ac:dyDescent="0.2">
      <c r="CT135" s="9"/>
      <c r="CU135" s="9"/>
      <c r="CV135" s="9"/>
      <c r="CW135" s="9"/>
      <c r="CX135" s="9"/>
      <c r="CY135" s="9"/>
      <c r="CZ135" s="9"/>
    </row>
    <row r="136" spans="98:104" x14ac:dyDescent="0.2">
      <c r="CT136" s="9"/>
      <c r="CU136" s="9"/>
      <c r="CV136" s="9"/>
      <c r="CW136" s="9"/>
      <c r="CX136" s="9"/>
      <c r="CY136" s="9"/>
      <c r="CZ136" s="9"/>
    </row>
    <row r="137" spans="98:104" x14ac:dyDescent="0.2">
      <c r="CT137" s="9"/>
      <c r="CU137" s="9"/>
      <c r="CV137" s="9"/>
      <c r="CW137" s="9"/>
      <c r="CX137" s="9"/>
      <c r="CY137" s="9"/>
      <c r="CZ137" s="9"/>
    </row>
    <row r="138" spans="98:104" x14ac:dyDescent="0.2">
      <c r="CT138" s="9"/>
      <c r="CU138" s="9"/>
      <c r="CV138" s="9"/>
      <c r="CW138" s="9"/>
      <c r="CX138" s="9"/>
      <c r="CY138" s="9"/>
      <c r="CZ138" s="9"/>
    </row>
    <row r="139" spans="98:104" x14ac:dyDescent="0.2">
      <c r="CT139" s="9"/>
      <c r="CU139" s="9"/>
      <c r="CV139" s="9"/>
      <c r="CW139" s="9"/>
      <c r="CX139" s="9"/>
      <c r="CY139" s="9"/>
      <c r="CZ139" s="9"/>
    </row>
    <row r="140" spans="98:104" x14ac:dyDescent="0.2">
      <c r="CT140" s="9"/>
      <c r="CU140" s="9"/>
      <c r="CV140" s="9"/>
      <c r="CW140" s="9"/>
      <c r="CX140" s="9"/>
      <c r="CY140" s="9"/>
      <c r="CZ140" s="9"/>
    </row>
    <row r="141" spans="98:104" x14ac:dyDescent="0.2">
      <c r="CT141" s="9"/>
      <c r="CU141" s="9"/>
      <c r="CV141" s="9"/>
      <c r="CW141" s="9"/>
      <c r="CX141" s="9"/>
      <c r="CY141" s="9"/>
      <c r="CZ141" s="9"/>
    </row>
    <row r="142" spans="98:104" x14ac:dyDescent="0.2">
      <c r="CT142" s="9"/>
      <c r="CU142" s="9"/>
      <c r="CV142" s="9"/>
      <c r="CW142" s="9"/>
      <c r="CX142" s="9"/>
      <c r="CY142" s="9"/>
      <c r="CZ142" s="9"/>
    </row>
    <row r="143" spans="98:104" x14ac:dyDescent="0.2">
      <c r="CT143" s="9"/>
      <c r="CU143" s="9"/>
      <c r="CV143" s="9"/>
      <c r="CW143" s="9"/>
      <c r="CX143" s="9"/>
      <c r="CY143" s="9"/>
      <c r="CZ143" s="9"/>
    </row>
    <row r="144" spans="98:104" x14ac:dyDescent="0.2">
      <c r="CT144" s="9"/>
      <c r="CU144" s="9"/>
      <c r="CV144" s="9"/>
      <c r="CW144" s="9"/>
      <c r="CX144" s="9"/>
      <c r="CY144" s="9"/>
      <c r="CZ144" s="9"/>
    </row>
    <row r="145" spans="98:104" x14ac:dyDescent="0.2">
      <c r="CT145" s="9"/>
      <c r="CU145" s="9"/>
      <c r="CV145" s="9"/>
      <c r="CW145" s="9"/>
      <c r="CX145" s="9"/>
      <c r="CY145" s="9"/>
      <c r="CZ145" s="9"/>
    </row>
    <row r="146" spans="98:104" x14ac:dyDescent="0.2">
      <c r="CT146" s="9"/>
      <c r="CU146" s="9"/>
      <c r="CV146" s="9"/>
      <c r="CW146" s="9"/>
      <c r="CX146" s="9"/>
      <c r="CY146" s="9"/>
      <c r="CZ146" s="9"/>
    </row>
    <row r="147" spans="98:104" x14ac:dyDescent="0.2">
      <c r="CT147" s="9"/>
      <c r="CU147" s="9"/>
      <c r="CV147" s="9"/>
      <c r="CW147" s="9"/>
      <c r="CX147" s="9"/>
      <c r="CY147" s="9"/>
      <c r="CZ147" s="9"/>
    </row>
    <row r="148" spans="98:104" x14ac:dyDescent="0.2">
      <c r="CT148" s="9"/>
      <c r="CU148" s="9"/>
      <c r="CV148" s="9"/>
      <c r="CW148" s="9"/>
      <c r="CX148" s="9"/>
      <c r="CY148" s="9"/>
      <c r="CZ148" s="9"/>
    </row>
    <row r="149" spans="98:104" x14ac:dyDescent="0.2">
      <c r="CT149" s="9"/>
      <c r="CU149" s="9"/>
      <c r="CV149" s="9"/>
      <c r="CW149" s="9"/>
      <c r="CX149" s="9"/>
      <c r="CY149" s="9"/>
      <c r="CZ149" s="9"/>
    </row>
    <row r="150" spans="98:104" x14ac:dyDescent="0.2">
      <c r="CT150" s="9"/>
      <c r="CU150" s="9"/>
      <c r="CV150" s="9"/>
      <c r="CW150" s="9"/>
      <c r="CX150" s="9"/>
      <c r="CY150" s="9"/>
      <c r="CZ150" s="9"/>
    </row>
    <row r="151" spans="98:104" x14ac:dyDescent="0.2">
      <c r="CT151" s="9"/>
      <c r="CU151" s="9"/>
      <c r="CV151" s="9"/>
      <c r="CW151" s="9"/>
      <c r="CX151" s="9"/>
      <c r="CY151" s="9"/>
      <c r="CZ151" s="9"/>
    </row>
    <row r="152" spans="98:104" x14ac:dyDescent="0.2">
      <c r="CT152" s="9"/>
      <c r="CU152" s="9"/>
      <c r="CV152" s="9"/>
      <c r="CW152" s="9"/>
      <c r="CX152" s="9"/>
      <c r="CY152" s="9"/>
      <c r="CZ152" s="9"/>
    </row>
    <row r="153" spans="98:104" x14ac:dyDescent="0.2">
      <c r="CT153" s="9"/>
      <c r="CU153" s="9"/>
      <c r="CV153" s="9"/>
      <c r="CW153" s="9"/>
      <c r="CX153" s="9"/>
      <c r="CY153" s="9"/>
      <c r="CZ153" s="9"/>
    </row>
    <row r="154" spans="98:104" x14ac:dyDescent="0.2">
      <c r="CT154" s="9"/>
      <c r="CU154" s="9"/>
      <c r="CV154" s="9"/>
      <c r="CW154" s="9"/>
      <c r="CX154" s="9"/>
      <c r="CY154" s="9"/>
      <c r="CZ154" s="9"/>
    </row>
    <row r="155" spans="98:104" x14ac:dyDescent="0.2">
      <c r="CT155" s="9"/>
      <c r="CU155" s="9"/>
      <c r="CV155" s="9"/>
      <c r="CW155" s="9"/>
      <c r="CX155" s="9"/>
      <c r="CY155" s="9"/>
      <c r="CZ155" s="9"/>
    </row>
    <row r="156" spans="98:104" x14ac:dyDescent="0.2">
      <c r="CT156" s="9"/>
      <c r="CU156" s="9"/>
      <c r="CV156" s="9"/>
      <c r="CW156" s="9"/>
      <c r="CX156" s="9"/>
      <c r="CY156" s="9"/>
      <c r="CZ156" s="9"/>
    </row>
    <row r="157" spans="98:104" x14ac:dyDescent="0.2">
      <c r="CT157" s="9"/>
      <c r="CU157" s="9"/>
      <c r="CV157" s="9"/>
      <c r="CW157" s="9"/>
      <c r="CX157" s="9"/>
      <c r="CY157" s="9"/>
      <c r="CZ157" s="9"/>
    </row>
    <row r="158" spans="98:104" x14ac:dyDescent="0.2">
      <c r="CT158" s="9"/>
      <c r="CU158" s="9"/>
      <c r="CV158" s="9"/>
      <c r="CW158" s="9"/>
      <c r="CX158" s="9"/>
      <c r="CY158" s="9"/>
      <c r="CZ158" s="9"/>
    </row>
    <row r="159" spans="98:104" x14ac:dyDescent="0.2">
      <c r="CT159" s="9"/>
      <c r="CU159" s="9"/>
      <c r="CV159" s="9"/>
      <c r="CW159" s="9"/>
      <c r="CX159" s="9"/>
      <c r="CY159" s="9"/>
      <c r="CZ159" s="9"/>
    </row>
    <row r="160" spans="98:104" x14ac:dyDescent="0.2">
      <c r="CT160" s="9"/>
      <c r="CU160" s="9"/>
      <c r="CV160" s="9"/>
      <c r="CW160" s="9"/>
      <c r="CX160" s="9"/>
      <c r="CY160" s="9"/>
      <c r="CZ160" s="9"/>
    </row>
    <row r="161" spans="98:104" x14ac:dyDescent="0.2">
      <c r="CT161" s="9"/>
      <c r="CU161" s="9"/>
      <c r="CV161" s="9"/>
      <c r="CW161" s="9"/>
      <c r="CX161" s="9"/>
      <c r="CY161" s="9"/>
      <c r="CZ161" s="9"/>
    </row>
    <row r="162" spans="98:104" x14ac:dyDescent="0.2">
      <c r="CT162" s="9"/>
      <c r="CU162" s="9"/>
      <c r="CV162" s="9"/>
      <c r="CW162" s="9"/>
      <c r="CX162" s="9"/>
      <c r="CY162" s="9"/>
      <c r="CZ162" s="9"/>
    </row>
    <row r="163" spans="98:104" x14ac:dyDescent="0.2">
      <c r="CT163" s="9"/>
      <c r="CU163" s="9"/>
      <c r="CV163" s="9"/>
      <c r="CW163" s="9"/>
      <c r="CX163" s="9"/>
      <c r="CY163" s="9"/>
      <c r="CZ163" s="9"/>
    </row>
    <row r="164" spans="98:104" x14ac:dyDescent="0.2">
      <c r="CT164" s="9"/>
      <c r="CU164" s="9"/>
      <c r="CV164" s="9"/>
      <c r="CW164" s="9"/>
      <c r="CX164" s="9"/>
      <c r="CY164" s="9"/>
      <c r="CZ164" s="9"/>
    </row>
    <row r="165" spans="98:104" x14ac:dyDescent="0.2">
      <c r="CT165" s="9"/>
      <c r="CU165" s="9"/>
      <c r="CV165" s="9"/>
      <c r="CW165" s="9"/>
      <c r="CX165" s="9"/>
      <c r="CY165" s="9"/>
      <c r="CZ165" s="9"/>
    </row>
    <row r="166" spans="98:104" x14ac:dyDescent="0.2">
      <c r="CT166" s="9"/>
      <c r="CU166" s="9"/>
      <c r="CV166" s="9"/>
      <c r="CW166" s="9"/>
      <c r="CX166" s="9"/>
      <c r="CY166" s="9"/>
      <c r="CZ166" s="9"/>
    </row>
    <row r="167" spans="98:104" x14ac:dyDescent="0.2">
      <c r="CT167" s="9"/>
      <c r="CU167" s="9"/>
      <c r="CV167" s="9"/>
      <c r="CW167" s="9"/>
      <c r="CX167" s="9"/>
      <c r="CY167" s="9"/>
      <c r="CZ167" s="9"/>
    </row>
    <row r="168" spans="98:104" x14ac:dyDescent="0.2">
      <c r="CT168" s="9"/>
      <c r="CU168" s="9"/>
      <c r="CV168" s="9"/>
      <c r="CW168" s="9"/>
      <c r="CX168" s="9"/>
      <c r="CY168" s="9"/>
      <c r="CZ168" s="9"/>
    </row>
    <row r="169" spans="98:104" x14ac:dyDescent="0.2">
      <c r="CT169" s="9"/>
      <c r="CU169" s="9"/>
      <c r="CV169" s="9"/>
      <c r="CW169" s="9"/>
      <c r="CX169" s="9"/>
      <c r="CY169" s="9"/>
      <c r="CZ169" s="9"/>
    </row>
    <row r="170" spans="98:104" x14ac:dyDescent="0.2">
      <c r="CT170" s="9"/>
      <c r="CU170" s="9"/>
      <c r="CV170" s="9"/>
      <c r="CW170" s="9"/>
      <c r="CX170" s="9"/>
      <c r="CY170" s="9"/>
      <c r="CZ170" s="9"/>
    </row>
    <row r="171" spans="98:104" x14ac:dyDescent="0.2">
      <c r="CT171" s="9"/>
      <c r="CU171" s="9"/>
      <c r="CV171" s="9"/>
      <c r="CW171" s="9"/>
      <c r="CX171" s="9"/>
      <c r="CY171" s="9"/>
      <c r="CZ171" s="9"/>
    </row>
    <row r="172" spans="98:104" x14ac:dyDescent="0.2">
      <c r="CT172" s="9"/>
      <c r="CU172" s="9"/>
      <c r="CV172" s="9"/>
      <c r="CW172" s="9"/>
      <c r="CX172" s="9"/>
      <c r="CY172" s="9"/>
      <c r="CZ172" s="9"/>
    </row>
    <row r="173" spans="98:104" x14ac:dyDescent="0.2">
      <c r="CT173" s="9"/>
      <c r="CU173" s="9"/>
      <c r="CV173" s="9"/>
      <c r="CW173" s="9"/>
      <c r="CX173" s="9"/>
      <c r="CY173" s="9"/>
      <c r="CZ173" s="9"/>
    </row>
    <row r="174" spans="98:104" x14ac:dyDescent="0.2">
      <c r="CT174" s="9"/>
      <c r="CU174" s="9"/>
      <c r="CV174" s="9"/>
      <c r="CW174" s="9"/>
      <c r="CX174" s="9"/>
      <c r="CY174" s="9"/>
      <c r="CZ174" s="9"/>
    </row>
    <row r="175" spans="98:104" x14ac:dyDescent="0.2">
      <c r="CT175" s="9"/>
      <c r="CU175" s="9"/>
      <c r="CV175" s="9"/>
      <c r="CW175" s="9"/>
      <c r="CX175" s="9"/>
      <c r="CY175" s="9"/>
      <c r="CZ175" s="9"/>
    </row>
    <row r="176" spans="98:104" x14ac:dyDescent="0.2">
      <c r="CT176" s="9"/>
      <c r="CU176" s="9"/>
      <c r="CV176" s="9"/>
      <c r="CW176" s="9"/>
      <c r="CX176" s="9"/>
      <c r="CY176" s="9"/>
      <c r="CZ176" s="9"/>
    </row>
    <row r="177" spans="98:104" x14ac:dyDescent="0.2">
      <c r="CT177" s="9"/>
      <c r="CU177" s="9"/>
      <c r="CV177" s="9"/>
      <c r="CW177" s="9"/>
      <c r="CX177" s="9"/>
      <c r="CY177" s="9"/>
      <c r="CZ177" s="9"/>
    </row>
    <row r="178" spans="98:104" x14ac:dyDescent="0.2">
      <c r="CT178" s="9"/>
      <c r="CU178" s="9"/>
      <c r="CV178" s="9"/>
      <c r="CW178" s="9"/>
      <c r="CX178" s="9"/>
      <c r="CY178" s="9"/>
      <c r="CZ178" s="9"/>
    </row>
    <row r="179" spans="98:104" x14ac:dyDescent="0.2">
      <c r="CT179" s="9"/>
      <c r="CU179" s="9"/>
      <c r="CV179" s="9"/>
      <c r="CW179" s="9"/>
      <c r="CX179" s="9"/>
      <c r="CY179" s="9"/>
      <c r="CZ179" s="9"/>
    </row>
    <row r="180" spans="98:104" x14ac:dyDescent="0.2">
      <c r="CT180" s="9"/>
      <c r="CU180" s="9"/>
      <c r="CV180" s="9"/>
      <c r="CW180" s="9"/>
      <c r="CX180" s="9"/>
      <c r="CY180" s="9"/>
      <c r="CZ180" s="9"/>
    </row>
    <row r="181" spans="98:104" x14ac:dyDescent="0.2">
      <c r="CT181" s="9"/>
      <c r="CU181" s="9"/>
      <c r="CV181" s="9"/>
      <c r="CW181" s="9"/>
      <c r="CX181" s="9"/>
      <c r="CY181" s="9"/>
      <c r="CZ181" s="9"/>
    </row>
    <row r="182" spans="98:104" x14ac:dyDescent="0.2">
      <c r="CT182" s="9"/>
      <c r="CU182" s="9"/>
      <c r="CV182" s="9"/>
      <c r="CW182" s="9"/>
      <c r="CX182" s="9"/>
      <c r="CY182" s="9"/>
      <c r="CZ182" s="9"/>
    </row>
    <row r="183" spans="98:104" x14ac:dyDescent="0.2">
      <c r="CT183" s="9"/>
      <c r="CU183" s="9"/>
      <c r="CV183" s="9"/>
      <c r="CW183" s="9"/>
      <c r="CX183" s="9"/>
      <c r="CY183" s="9"/>
      <c r="CZ183" s="9"/>
    </row>
    <row r="184" spans="98:104" x14ac:dyDescent="0.2">
      <c r="CT184" s="9"/>
      <c r="CU184" s="9"/>
      <c r="CV184" s="9"/>
      <c r="CW184" s="9"/>
      <c r="CX184" s="9"/>
      <c r="CY184" s="9"/>
      <c r="CZ184" s="9"/>
    </row>
    <row r="185" spans="98:104" x14ac:dyDescent="0.2">
      <c r="CT185" s="9"/>
      <c r="CU185" s="9"/>
      <c r="CV185" s="9"/>
      <c r="CW185" s="9"/>
      <c r="CX185" s="9"/>
      <c r="CY185" s="9"/>
      <c r="CZ185" s="9"/>
    </row>
    <row r="186" spans="98:104" x14ac:dyDescent="0.2">
      <c r="CT186" s="9"/>
      <c r="CU186" s="9"/>
      <c r="CV186" s="9"/>
      <c r="CW186" s="9"/>
      <c r="CX186" s="9"/>
      <c r="CY186" s="9"/>
      <c r="CZ186" s="9"/>
    </row>
    <row r="187" spans="98:104" x14ac:dyDescent="0.2">
      <c r="CT187" s="9"/>
      <c r="CU187" s="9"/>
      <c r="CV187" s="9"/>
      <c r="CW187" s="9"/>
      <c r="CX187" s="9"/>
      <c r="CY187" s="9"/>
      <c r="CZ187" s="9"/>
    </row>
    <row r="188" spans="98:104" x14ac:dyDescent="0.2">
      <c r="CT188" s="9"/>
      <c r="CU188" s="9"/>
      <c r="CV188" s="9"/>
      <c r="CW188" s="9"/>
      <c r="CX188" s="9"/>
      <c r="CY188" s="9"/>
      <c r="CZ188" s="9"/>
    </row>
    <row r="189" spans="98:104" x14ac:dyDescent="0.2">
      <c r="CT189" s="9"/>
      <c r="CU189" s="9"/>
      <c r="CV189" s="9"/>
      <c r="CW189" s="9"/>
      <c r="CX189" s="9"/>
      <c r="CY189" s="9"/>
      <c r="CZ189" s="9"/>
    </row>
    <row r="190" spans="98:104" x14ac:dyDescent="0.2">
      <c r="CT190" s="9"/>
      <c r="CU190" s="9"/>
      <c r="CV190" s="9"/>
      <c r="CW190" s="9"/>
      <c r="CX190" s="9"/>
      <c r="CY190" s="9"/>
      <c r="CZ190" s="9"/>
    </row>
    <row r="191" spans="98:104" x14ac:dyDescent="0.2">
      <c r="CT191" s="9"/>
    </row>
    <row r="192" spans="98:104" x14ac:dyDescent="0.2">
      <c r="CT192" s="9"/>
    </row>
    <row r="193" spans="98:98" x14ac:dyDescent="0.2">
      <c r="CT193" s="9"/>
    </row>
    <row r="194" spans="98:98" x14ac:dyDescent="0.2">
      <c r="CT194" s="9"/>
    </row>
    <row r="195" spans="98:98" x14ac:dyDescent="0.2">
      <c r="CT195" s="9"/>
    </row>
    <row r="196" spans="98:98" x14ac:dyDescent="0.2">
      <c r="CT196" s="9"/>
    </row>
    <row r="197" spans="98:98" x14ac:dyDescent="0.2">
      <c r="CT197" s="9"/>
    </row>
    <row r="198" spans="98:98" x14ac:dyDescent="0.2">
      <c r="CT198" s="9"/>
    </row>
    <row r="199" spans="98:98" x14ac:dyDescent="0.2">
      <c r="CT199" s="9"/>
    </row>
    <row r="200" spans="98:98" x14ac:dyDescent="0.2">
      <c r="CT200" s="9"/>
    </row>
    <row r="201" spans="98:98" x14ac:dyDescent="0.2">
      <c r="CT201" s="9"/>
    </row>
    <row r="202" spans="98:98" x14ac:dyDescent="0.2">
      <c r="CT202" s="9"/>
    </row>
    <row r="203" spans="98:98" x14ac:dyDescent="0.2">
      <c r="CT203" s="9"/>
    </row>
    <row r="204" spans="98:98" x14ac:dyDescent="0.2">
      <c r="CT204" s="9"/>
    </row>
    <row r="205" spans="98:98" x14ac:dyDescent="0.2">
      <c r="CT205" s="9"/>
    </row>
    <row r="206" spans="98:98" x14ac:dyDescent="0.2">
      <c r="CT206" s="9"/>
    </row>
  </sheetData>
  <sheetProtection formatCells="0" formatColumns="0" formatRows="0"/>
  <mergeCells count="234">
    <mergeCell ref="BC12:CH12"/>
    <mergeCell ref="BC15:CH15"/>
    <mergeCell ref="BC10:CH10"/>
    <mergeCell ref="AU15:AY15"/>
    <mergeCell ref="AU11:AY11"/>
    <mergeCell ref="BC24:CH24"/>
    <mergeCell ref="BC23:CH23"/>
    <mergeCell ref="AU18:AY18"/>
    <mergeCell ref="AU10:AY10"/>
    <mergeCell ref="AU17:AY17"/>
    <mergeCell ref="AU23:AY23"/>
    <mergeCell ref="AU22:AY22"/>
    <mergeCell ref="AU19:AY19"/>
    <mergeCell ref="AU16:AY16"/>
    <mergeCell ref="AP17:AT17"/>
    <mergeCell ref="AP18:AT18"/>
    <mergeCell ref="AP19:AT19"/>
    <mergeCell ref="C17:AJ17"/>
    <mergeCell ref="CI16:CM16"/>
    <mergeCell ref="BC16:CH16"/>
    <mergeCell ref="BM4:BQ4"/>
    <mergeCell ref="AU14:AY14"/>
    <mergeCell ref="BC11:CH11"/>
    <mergeCell ref="CI7:CM7"/>
    <mergeCell ref="CI6:CM6"/>
    <mergeCell ref="C9:AJ9"/>
    <mergeCell ref="BC7:CH7"/>
    <mergeCell ref="BC6:CH6"/>
    <mergeCell ref="BC9:CH9"/>
    <mergeCell ref="BC8:CH8"/>
    <mergeCell ref="CI8:CM8"/>
    <mergeCell ref="CI9:CM9"/>
    <mergeCell ref="AP7:AT7"/>
    <mergeCell ref="AP8:AT8"/>
    <mergeCell ref="AP9:AT9"/>
    <mergeCell ref="AP6:AT6"/>
    <mergeCell ref="C6:AJ6"/>
    <mergeCell ref="W4:AA4"/>
    <mergeCell ref="C20:AJ20"/>
    <mergeCell ref="AU20:AY20"/>
    <mergeCell ref="C22:AJ22"/>
    <mergeCell ref="C7:AJ7"/>
    <mergeCell ref="AU7:AY7"/>
    <mergeCell ref="AU6:AY6"/>
    <mergeCell ref="C8:AJ8"/>
    <mergeCell ref="AU8:AY8"/>
    <mergeCell ref="C10:AJ10"/>
    <mergeCell ref="C12:AJ12"/>
    <mergeCell ref="C13:AJ13"/>
    <mergeCell ref="C15:AJ15"/>
    <mergeCell ref="C16:AJ16"/>
    <mergeCell ref="C14:AJ14"/>
    <mergeCell ref="C18:AJ18"/>
    <mergeCell ref="C11:AJ11"/>
    <mergeCell ref="AP16:AT16"/>
    <mergeCell ref="AU12:AY12"/>
    <mergeCell ref="AP11:AT11"/>
    <mergeCell ref="AP12:AT12"/>
    <mergeCell ref="AP15:AT15"/>
    <mergeCell ref="AK13:AO13"/>
    <mergeCell ref="AK12:AO12"/>
    <mergeCell ref="C19:AJ19"/>
    <mergeCell ref="AU4:AY4"/>
    <mergeCell ref="AK43:AO43"/>
    <mergeCell ref="AU28:AY28"/>
    <mergeCell ref="AU42:AY42"/>
    <mergeCell ref="C21:AJ21"/>
    <mergeCell ref="AU21:AY21"/>
    <mergeCell ref="AP21:AT21"/>
    <mergeCell ref="AK37:AO37"/>
    <mergeCell ref="AK38:AO38"/>
    <mergeCell ref="AK39:AO39"/>
    <mergeCell ref="AK40:AO40"/>
    <mergeCell ref="AK41:AO41"/>
    <mergeCell ref="AK42:AO42"/>
    <mergeCell ref="AU43:AY43"/>
    <mergeCell ref="AP39:AT39"/>
    <mergeCell ref="AU9:AY9"/>
    <mergeCell ref="AP14:AT14"/>
    <mergeCell ref="C23:AJ23"/>
    <mergeCell ref="C24:AJ24"/>
    <mergeCell ref="C25:AJ25"/>
    <mergeCell ref="C33:AJ33"/>
    <mergeCell ref="AP34:AT34"/>
    <mergeCell ref="AK29:AO29"/>
    <mergeCell ref="AU39:AY39"/>
    <mergeCell ref="AU48:AY48"/>
    <mergeCell ref="AK44:AO44"/>
    <mergeCell ref="AK45:AO45"/>
    <mergeCell ref="AK46:AO46"/>
    <mergeCell ref="AK47:AO47"/>
    <mergeCell ref="AK48:AO48"/>
    <mergeCell ref="AU47:AY47"/>
    <mergeCell ref="AU45:AY45"/>
    <mergeCell ref="AP45:AT45"/>
    <mergeCell ref="AU44:AY44"/>
    <mergeCell ref="AU46:AY46"/>
    <mergeCell ref="AP46:AT46"/>
    <mergeCell ref="AP47:AT47"/>
    <mergeCell ref="AP48:AT48"/>
    <mergeCell ref="AU40:AY40"/>
    <mergeCell ref="AU41:AY41"/>
    <mergeCell ref="AU37:AY37"/>
    <mergeCell ref="AU31:AY31"/>
    <mergeCell ref="AU38:AY38"/>
    <mergeCell ref="BC25:CH25"/>
    <mergeCell ref="CI25:CM25"/>
    <mergeCell ref="AU34:AY34"/>
    <mergeCell ref="AU32:AY32"/>
    <mergeCell ref="BC28:CH28"/>
    <mergeCell ref="CI28:CM28"/>
    <mergeCell ref="BC32:CH32"/>
    <mergeCell ref="CI32:CM32"/>
    <mergeCell ref="BC29:CH29"/>
    <mergeCell ref="CI29:CM29"/>
    <mergeCell ref="BC30:CH30"/>
    <mergeCell ref="CI30:CM30"/>
    <mergeCell ref="BC31:CH31"/>
    <mergeCell ref="CI31:CM31"/>
    <mergeCell ref="BC36:CH36"/>
    <mergeCell ref="CI36:CM36"/>
    <mergeCell ref="BC33:CH33"/>
    <mergeCell ref="AU26:AY26"/>
    <mergeCell ref="AU33:AY33"/>
    <mergeCell ref="AU36:AY36"/>
    <mergeCell ref="AU35:AY35"/>
    <mergeCell ref="AK33:AO33"/>
    <mergeCell ref="AK34:AO34"/>
    <mergeCell ref="AU24:AY24"/>
    <mergeCell ref="AK35:AO35"/>
    <mergeCell ref="AP33:AT33"/>
    <mergeCell ref="AK31:AO31"/>
    <mergeCell ref="AK32:AO32"/>
    <mergeCell ref="AP24:AT24"/>
    <mergeCell ref="AP32:AT32"/>
    <mergeCell ref="AK24:AO24"/>
    <mergeCell ref="AU25:AY25"/>
    <mergeCell ref="AU29:AY29"/>
    <mergeCell ref="AK36:AO36"/>
    <mergeCell ref="CI20:CM20"/>
    <mergeCell ref="CI18:CM18"/>
    <mergeCell ref="BC18:CH18"/>
    <mergeCell ref="BC17:CH17"/>
    <mergeCell ref="CI19:CM19"/>
    <mergeCell ref="BC20:CH20"/>
    <mergeCell ref="BC26:CH26"/>
    <mergeCell ref="CI26:CM26"/>
    <mergeCell ref="BC27:CH27"/>
    <mergeCell ref="CI27:CM27"/>
    <mergeCell ref="CI23:CM23"/>
    <mergeCell ref="CI21:CM21"/>
    <mergeCell ref="BC21:CH21"/>
    <mergeCell ref="CI22:CM22"/>
    <mergeCell ref="CI24:CM24"/>
    <mergeCell ref="CI17:CM17"/>
    <mergeCell ref="BC22:CH22"/>
    <mergeCell ref="CI15:CM15"/>
    <mergeCell ref="AP10:AT10"/>
    <mergeCell ref="AP13:AT13"/>
    <mergeCell ref="AP20:AT20"/>
    <mergeCell ref="AP26:AT26"/>
    <mergeCell ref="AP25:AT25"/>
    <mergeCell ref="AP22:AT22"/>
    <mergeCell ref="AP35:AT35"/>
    <mergeCell ref="AP36:AT36"/>
    <mergeCell ref="CI33:CM33"/>
    <mergeCell ref="BC34:CH34"/>
    <mergeCell ref="CI34:CM34"/>
    <mergeCell ref="BC35:CH35"/>
    <mergeCell ref="CI35:CM35"/>
    <mergeCell ref="CI10:CM10"/>
    <mergeCell ref="CI11:CM11"/>
    <mergeCell ref="AU30:AY30"/>
    <mergeCell ref="CI12:CM12"/>
    <mergeCell ref="CI13:CM13"/>
    <mergeCell ref="BC14:CH14"/>
    <mergeCell ref="CI14:CM14"/>
    <mergeCell ref="AU13:AY13"/>
    <mergeCell ref="BC13:CH13"/>
    <mergeCell ref="BC19:CH19"/>
    <mergeCell ref="AK14:AO14"/>
    <mergeCell ref="AK15:AO15"/>
    <mergeCell ref="AK16:AO16"/>
    <mergeCell ref="AK17:AO17"/>
    <mergeCell ref="AK18:AO18"/>
    <mergeCell ref="AK19:AO19"/>
    <mergeCell ref="AK20:AO20"/>
    <mergeCell ref="AK25:AO25"/>
    <mergeCell ref="AK30:AO30"/>
    <mergeCell ref="AK21:AO21"/>
    <mergeCell ref="AK22:AO22"/>
    <mergeCell ref="AP23:AT23"/>
    <mergeCell ref="AK23:AO23"/>
    <mergeCell ref="C40:AJ40"/>
    <mergeCell ref="AP42:AT42"/>
    <mergeCell ref="AP43:AT43"/>
    <mergeCell ref="AK26:AO26"/>
    <mergeCell ref="AP41:AT41"/>
    <mergeCell ref="AP40:AT40"/>
    <mergeCell ref="AP44:AT44"/>
    <mergeCell ref="AP38:AT38"/>
    <mergeCell ref="AP28:AT28"/>
    <mergeCell ref="C36:AJ36"/>
    <mergeCell ref="C34:AJ34"/>
    <mergeCell ref="C35:AJ35"/>
    <mergeCell ref="C26:AJ26"/>
    <mergeCell ref="AP37:AT37"/>
    <mergeCell ref="AP29:AT29"/>
    <mergeCell ref="AP30:AT30"/>
    <mergeCell ref="AP31:AT31"/>
    <mergeCell ref="C2:AY2"/>
    <mergeCell ref="C48:AJ48"/>
    <mergeCell ref="AK28:AO28"/>
    <mergeCell ref="AK6:AO6"/>
    <mergeCell ref="AK7:AO7"/>
    <mergeCell ref="AK8:AO8"/>
    <mergeCell ref="AK9:AO9"/>
    <mergeCell ref="AK10:AO10"/>
    <mergeCell ref="AK11:AO11"/>
    <mergeCell ref="C45:AJ45"/>
    <mergeCell ref="C46:AJ46"/>
    <mergeCell ref="C47:AJ47"/>
    <mergeCell ref="C28:AJ28"/>
    <mergeCell ref="C29:AJ29"/>
    <mergeCell ref="C30:AJ30"/>
    <mergeCell ref="C31:AJ31"/>
    <mergeCell ref="C32:AJ32"/>
    <mergeCell ref="C41:AJ41"/>
    <mergeCell ref="C42:AJ42"/>
    <mergeCell ref="C43:AJ43"/>
    <mergeCell ref="C44:AJ44"/>
    <mergeCell ref="C37:AJ37"/>
    <mergeCell ref="C38:AJ38"/>
    <mergeCell ref="C39:AJ39"/>
  </mergeCells>
  <phoneticPr fontId="2" type="noConversion"/>
  <dataValidations count="1">
    <dataValidation type="whole" allowBlank="1" showInputMessage="1" showErrorMessage="1" sqref="AK29:AO48 AK7:AO26">
      <formula1>1</formula1>
      <formula2>99</formula2>
    </dataValidation>
  </dataValidations>
  <printOptions horizontalCentered="1" verticalCentered="1"/>
  <pageMargins left="0.31496062992125984" right="0.31496062992125984" top="0.28000000000000003" bottom="0.63" header="0.19685039370078741" footer="0.6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workbookViewId="0">
      <selection activeCell="C18" sqref="C18:C20"/>
    </sheetView>
  </sheetViews>
  <sheetFormatPr defaultRowHeight="16.5" customHeight="1" x14ac:dyDescent="0.25"/>
  <cols>
    <col min="1" max="1" width="3.21875" customWidth="1"/>
    <col min="2" max="5" width="31.77734375" customWidth="1"/>
  </cols>
  <sheetData>
    <row r="2" spans="2:13" ht="17.399999999999999" x14ac:dyDescent="0.3">
      <c r="B2" s="548" t="s">
        <v>407</v>
      </c>
      <c r="C2" s="549"/>
      <c r="D2" s="549"/>
      <c r="E2" s="549"/>
    </row>
    <row r="3" spans="2:13" ht="15" customHeight="1" x14ac:dyDescent="0.3">
      <c r="B3" s="106"/>
      <c r="C3" s="106"/>
      <c r="D3" s="106"/>
      <c r="E3" s="106"/>
    </row>
    <row r="4" spans="2:13" ht="14.25" customHeight="1" x14ac:dyDescent="0.3">
      <c r="B4" s="546" t="s">
        <v>496</v>
      </c>
      <c r="C4" s="547"/>
      <c r="D4" s="547"/>
      <c r="E4" s="547"/>
    </row>
    <row r="5" spans="2:13" ht="14.25" customHeight="1" x14ac:dyDescent="0.25">
      <c r="B5" s="109"/>
      <c r="C5" s="107"/>
      <c r="D5" s="110"/>
      <c r="E5" s="110"/>
    </row>
    <row r="6" spans="2:13" ht="14.25" customHeight="1" x14ac:dyDescent="0.25">
      <c r="B6" s="109"/>
      <c r="C6" s="107"/>
      <c r="D6" s="110"/>
      <c r="E6" s="110"/>
    </row>
    <row r="7" spans="2:13" ht="14.25" customHeight="1" x14ac:dyDescent="0.25">
      <c r="B7" s="109"/>
      <c r="C7" s="107"/>
      <c r="D7" s="110"/>
      <c r="E7" s="110"/>
    </row>
    <row r="8" spans="2:13" ht="14.25" customHeight="1" x14ac:dyDescent="0.25">
      <c r="B8" s="109"/>
      <c r="C8" s="107"/>
      <c r="D8" s="110"/>
      <c r="E8" s="110"/>
    </row>
    <row r="9" spans="2:13" ht="14.25" customHeight="1" x14ac:dyDescent="0.25">
      <c r="B9" s="109"/>
      <c r="C9" s="107"/>
      <c r="D9" s="110"/>
      <c r="E9" s="110"/>
    </row>
    <row r="10" spans="2:13" ht="14.25" customHeight="1" x14ac:dyDescent="0.25">
      <c r="B10" s="109"/>
      <c r="C10" s="107"/>
      <c r="D10" s="110"/>
      <c r="E10" s="110"/>
    </row>
    <row r="11" spans="2:13" ht="14.25" customHeight="1" x14ac:dyDescent="0.25">
      <c r="B11" s="109"/>
      <c r="C11" s="107"/>
      <c r="D11" s="110"/>
      <c r="E11" s="314"/>
    </row>
    <row r="12" spans="2:13" ht="14.25" customHeight="1" x14ac:dyDescent="0.25">
      <c r="B12" s="109"/>
      <c r="C12" s="107"/>
      <c r="D12" s="110"/>
      <c r="E12" s="314"/>
    </row>
    <row r="13" spans="2:13" ht="14.25" customHeight="1" x14ac:dyDescent="0.25">
      <c r="B13" s="109"/>
      <c r="C13" s="107"/>
      <c r="D13" s="110"/>
      <c r="E13" s="314"/>
    </row>
    <row r="14" spans="2:13" ht="14.25" customHeight="1" x14ac:dyDescent="0.25">
      <c r="B14" s="109"/>
      <c r="C14" s="107"/>
      <c r="D14" s="110"/>
      <c r="E14" s="314"/>
    </row>
    <row r="15" spans="2:13" ht="14.25" customHeight="1" x14ac:dyDescent="0.25">
      <c r="B15" s="109"/>
      <c r="C15" s="107"/>
      <c r="D15" s="110"/>
      <c r="E15" s="314"/>
    </row>
    <row r="16" spans="2:13" ht="16.5" customHeight="1" thickBot="1" x14ac:dyDescent="0.3">
      <c r="I16" s="108"/>
      <c r="J16" s="108"/>
      <c r="K16" s="108"/>
      <c r="L16" s="108"/>
      <c r="M16" s="108"/>
    </row>
    <row r="17" spans="2:3" ht="16.5" customHeight="1" x14ac:dyDescent="0.3">
      <c r="B17" s="544" t="s">
        <v>64</v>
      </c>
      <c r="C17" s="545"/>
    </row>
    <row r="18" spans="2:3" ht="16.5" customHeight="1" x14ac:dyDescent="0.25">
      <c r="B18" s="201" t="s">
        <v>497</v>
      </c>
      <c r="C18" s="110"/>
    </row>
    <row r="19" spans="2:3" ht="16.5" customHeight="1" x14ac:dyDescent="0.25">
      <c r="B19" s="201" t="s">
        <v>498</v>
      </c>
      <c r="C19" s="110"/>
    </row>
    <row r="20" spans="2:3" ht="16.5" customHeight="1" thickBot="1" x14ac:dyDescent="0.3">
      <c r="B20" s="202" t="s">
        <v>499</v>
      </c>
      <c r="C20" s="111"/>
    </row>
  </sheetData>
  <sheetProtection sheet="1" objects="1" scenarios="1" formatCells="0" formatColumns="0" formatRows="0"/>
  <mergeCells count="3">
    <mergeCell ref="B17:C17"/>
    <mergeCell ref="B4:E4"/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186"/>
  <sheetViews>
    <sheetView topLeftCell="A7" zoomScale="85" zoomScaleNormal="85" workbookViewId="0">
      <selection activeCell="FX38" sqref="FX38"/>
    </sheetView>
  </sheetViews>
  <sheetFormatPr defaultColWidth="0.77734375" defaultRowHeight="11.4" x14ac:dyDescent="0.25"/>
  <cols>
    <col min="1" max="1" width="1.6640625" style="36" customWidth="1"/>
    <col min="2" max="90" width="0.77734375" style="36" customWidth="1"/>
    <col min="91" max="91" width="1.88671875" style="36" customWidth="1"/>
    <col min="92" max="92" width="1.5546875" style="36" customWidth="1"/>
    <col min="93" max="93" width="3.5546875" style="36" customWidth="1"/>
    <col min="94" max="107" width="0.77734375" style="36" customWidth="1"/>
    <col min="108" max="108" width="0.44140625" style="36" customWidth="1"/>
    <col min="109" max="109" width="0.77734375" style="36" customWidth="1"/>
    <col min="110" max="110" width="3.5546875" style="36" customWidth="1"/>
    <col min="111" max="111" width="0.77734375" style="36" customWidth="1"/>
    <col min="112" max="112" width="4.21875" style="36" customWidth="1"/>
    <col min="113" max="113" width="0.5546875" style="36" customWidth="1"/>
    <col min="114" max="118" width="0.77734375" style="36" customWidth="1"/>
    <col min="119" max="119" width="1.6640625" style="36" customWidth="1"/>
    <col min="120" max="120" width="0.77734375" style="36" customWidth="1"/>
    <col min="121" max="125" width="0.77734375" style="36" hidden="1" customWidth="1"/>
    <col min="126" max="126" width="9.5546875" style="36" hidden="1" customWidth="1"/>
    <col min="127" max="127" width="23.44140625" style="36" hidden="1" customWidth="1"/>
    <col min="128" max="128" width="14.77734375" style="36" hidden="1" customWidth="1"/>
    <col min="129" max="129" width="11.88671875" style="36" hidden="1" customWidth="1"/>
    <col min="130" max="130" width="14.5546875" style="36" hidden="1" customWidth="1"/>
    <col min="131" max="131" width="14.77734375" style="36" hidden="1" customWidth="1"/>
    <col min="132" max="132" width="12" style="36" hidden="1" customWidth="1"/>
    <col min="133" max="134" width="8.77734375" style="36" hidden="1" customWidth="1"/>
    <col min="135" max="135" width="35.44140625" style="36" hidden="1" customWidth="1"/>
    <col min="136" max="136" width="8.77734375" style="36" hidden="1" customWidth="1"/>
    <col min="137" max="137" width="6.77734375" style="36" hidden="1" customWidth="1"/>
    <col min="138" max="138" width="8.21875" style="36" hidden="1" customWidth="1"/>
    <col min="139" max="142" width="4.21875" style="36" hidden="1" customWidth="1"/>
    <col min="143" max="145" width="4.77734375" style="36" hidden="1" customWidth="1"/>
    <col min="146" max="149" width="5.21875" style="36" hidden="1" customWidth="1"/>
    <col min="150" max="150" width="8.77734375" style="36" hidden="1" customWidth="1"/>
    <col min="151" max="151" width="10.77734375" style="36" hidden="1" customWidth="1"/>
    <col min="152" max="152" width="2" style="36" hidden="1" customWidth="1"/>
    <col min="153" max="177" width="8.77734375" style="36" hidden="1" customWidth="1"/>
    <col min="178" max="196" width="8.77734375" style="36" customWidth="1"/>
    <col min="197" max="197" width="4.44140625" style="36" customWidth="1"/>
    <col min="198" max="213" width="8.77734375" style="36" hidden="1" customWidth="1"/>
    <col min="214" max="214" width="8.77734375" style="36" customWidth="1"/>
    <col min="215" max="16384" width="0.77734375" style="36"/>
  </cols>
  <sheetData>
    <row r="1" spans="1:126" s="35" customFormat="1" ht="13.05" customHeight="1" x14ac:dyDescent="0.25">
      <c r="A1" s="241"/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0"/>
      <c r="AN1" s="600"/>
      <c r="AO1" s="600"/>
      <c r="AP1" s="600"/>
      <c r="AQ1" s="600"/>
      <c r="AR1" s="600"/>
      <c r="AS1" s="600"/>
      <c r="AT1" s="600"/>
      <c r="AU1" s="600"/>
      <c r="AV1" s="600"/>
      <c r="AW1" s="600"/>
      <c r="AX1" s="600"/>
      <c r="AY1" s="600"/>
      <c r="AZ1" s="600"/>
      <c r="BA1" s="600"/>
      <c r="BB1" s="600"/>
      <c r="BC1" s="600"/>
      <c r="BD1" s="600"/>
      <c r="BE1" s="600"/>
      <c r="BF1" s="600"/>
      <c r="BG1" s="600"/>
      <c r="BH1" s="600"/>
      <c r="BI1" s="600"/>
      <c r="BJ1" s="600"/>
      <c r="BK1" s="600"/>
      <c r="BL1" s="600"/>
      <c r="BM1" s="600"/>
      <c r="BN1" s="600"/>
      <c r="BO1" s="600"/>
      <c r="BP1" s="600"/>
      <c r="BQ1" s="600"/>
      <c r="BR1" s="600"/>
      <c r="BS1" s="600"/>
      <c r="BT1" s="600"/>
      <c r="BU1" s="600"/>
      <c r="BV1" s="600"/>
      <c r="BW1" s="600"/>
      <c r="BX1" s="600"/>
      <c r="BY1" s="600"/>
      <c r="BZ1" s="600"/>
      <c r="CA1" s="600"/>
      <c r="CB1" s="600"/>
      <c r="CC1" s="600"/>
      <c r="CD1" s="600"/>
      <c r="CE1" s="600"/>
      <c r="CF1" s="600"/>
      <c r="CG1" s="600"/>
      <c r="CH1" s="600"/>
      <c r="CI1" s="600"/>
      <c r="CJ1" s="600"/>
      <c r="CK1" s="600"/>
      <c r="CL1" s="600"/>
      <c r="CM1" s="600"/>
      <c r="CN1" s="600"/>
      <c r="CO1" s="600"/>
      <c r="CP1" s="600"/>
      <c r="CQ1" s="600"/>
      <c r="CR1" s="600"/>
      <c r="CS1" s="600"/>
      <c r="CT1" s="600"/>
      <c r="CU1" s="600"/>
      <c r="CV1" s="600"/>
      <c r="CW1" s="600"/>
      <c r="CX1" s="600"/>
      <c r="CY1" s="600"/>
      <c r="CZ1" s="600"/>
      <c r="DA1" s="600"/>
      <c r="DB1" s="600"/>
      <c r="DC1" s="600"/>
      <c r="DD1" s="600"/>
      <c r="DE1" s="600"/>
      <c r="DF1" s="600"/>
      <c r="DG1" s="600"/>
      <c r="DH1" s="600"/>
      <c r="DI1" s="600"/>
      <c r="DJ1" s="600"/>
      <c r="DK1" s="600"/>
      <c r="DL1" s="600"/>
      <c r="DM1" s="600"/>
      <c r="DN1" s="600"/>
      <c r="DO1" s="601"/>
    </row>
    <row r="2" spans="1:126" ht="12" customHeight="1" x14ac:dyDescent="0.25">
      <c r="A2" s="266"/>
      <c r="B2" s="37" t="s">
        <v>500</v>
      </c>
      <c r="C2" s="37"/>
      <c r="D2" s="37"/>
      <c r="E2" s="37"/>
      <c r="F2" s="37"/>
      <c r="G2" s="37"/>
      <c r="H2" s="37"/>
      <c r="I2" s="38"/>
      <c r="J2" s="38"/>
      <c r="K2" s="38"/>
      <c r="L2" s="247"/>
      <c r="M2" s="197" t="str">
        <f>IF(Características!C5&lt;&gt;"",Características!C5,"")</f>
        <v/>
      </c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39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561" t="s">
        <v>503</v>
      </c>
      <c r="CW2" s="561"/>
      <c r="CX2" s="561"/>
      <c r="CY2" s="561"/>
      <c r="CZ2" s="561"/>
      <c r="DA2" s="561"/>
      <c r="DB2" s="561"/>
      <c r="DC2" s="561"/>
      <c r="DD2" s="561"/>
      <c r="DE2" s="561"/>
      <c r="DF2" s="561"/>
      <c r="DG2" s="562">
        <f>Características!C9</f>
        <v>1</v>
      </c>
      <c r="DH2" s="562"/>
      <c r="DI2" s="245"/>
      <c r="DJ2" s="245"/>
      <c r="DK2" s="245"/>
      <c r="DL2" s="247"/>
      <c r="DM2" s="247"/>
      <c r="DN2" s="247"/>
      <c r="DO2" s="267"/>
    </row>
    <row r="3" spans="1:126" ht="12" customHeight="1" x14ac:dyDescent="0.25">
      <c r="A3" s="266"/>
      <c r="B3" s="37" t="s">
        <v>501</v>
      </c>
      <c r="C3" s="37"/>
      <c r="D3" s="37"/>
      <c r="E3" s="37"/>
      <c r="F3" s="37"/>
      <c r="G3" s="37"/>
      <c r="H3" s="37"/>
      <c r="I3" s="38"/>
      <c r="J3" s="38"/>
      <c r="K3" s="38"/>
      <c r="L3" s="247"/>
      <c r="M3" s="197" t="str">
        <f>IF(Características!C11&lt;&gt;"",Características!C11,"")</f>
        <v/>
      </c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247"/>
      <c r="AH3" s="247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562"/>
      <c r="BX3" s="562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247"/>
      <c r="CL3" s="247"/>
      <c r="CM3" s="247"/>
      <c r="CN3" s="245"/>
      <c r="CO3" s="247"/>
      <c r="CP3" s="247"/>
      <c r="CQ3" s="247"/>
      <c r="CR3" s="247"/>
      <c r="CS3" s="247"/>
      <c r="CT3" s="247"/>
      <c r="CU3" s="561" t="s">
        <v>504</v>
      </c>
      <c r="CV3" s="561"/>
      <c r="CW3" s="561"/>
      <c r="CX3" s="561"/>
      <c r="CY3" s="561"/>
      <c r="CZ3" s="561"/>
      <c r="DA3" s="561"/>
      <c r="DB3" s="561"/>
      <c r="DC3" s="561"/>
      <c r="DD3" s="561"/>
      <c r="DE3" s="561"/>
      <c r="DF3" s="561"/>
      <c r="DG3" s="562">
        <f>Características!C7</f>
        <v>0</v>
      </c>
      <c r="DH3" s="562"/>
      <c r="DI3" s="247"/>
      <c r="DJ3" s="247"/>
      <c r="DK3" s="247"/>
      <c r="DL3" s="247"/>
      <c r="DM3" s="247"/>
      <c r="DN3" s="247"/>
      <c r="DO3" s="267"/>
    </row>
    <row r="4" spans="1:126" ht="13.05" customHeight="1" x14ac:dyDescent="0.25">
      <c r="A4" s="266"/>
      <c r="B4" s="38" t="s">
        <v>502</v>
      </c>
      <c r="C4" s="37"/>
      <c r="D4" s="37"/>
      <c r="E4" s="37"/>
      <c r="F4" s="37"/>
      <c r="G4" s="37"/>
      <c r="H4" s="37"/>
      <c r="I4" s="38"/>
      <c r="J4" s="38"/>
      <c r="K4" s="38"/>
      <c r="L4" s="247"/>
      <c r="M4" s="39" t="str">
        <f>IF(Características!C13&lt;&gt;"",Características!C13,"")</f>
        <v/>
      </c>
      <c r="N4" s="39"/>
      <c r="O4" s="39"/>
      <c r="P4" s="39"/>
      <c r="Q4" s="39"/>
      <c r="R4" s="39"/>
      <c r="S4" s="39"/>
      <c r="T4" s="39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39"/>
      <c r="AH4" s="39"/>
      <c r="AI4" s="39"/>
      <c r="AJ4" s="39"/>
      <c r="AK4" s="39"/>
      <c r="AL4" s="39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561" t="s">
        <v>484</v>
      </c>
      <c r="CV4" s="561"/>
      <c r="CW4" s="561"/>
      <c r="CX4" s="561"/>
      <c r="CY4" s="561"/>
      <c r="CZ4" s="561"/>
      <c r="DA4" s="561"/>
      <c r="DB4" s="561"/>
      <c r="DC4" s="561"/>
      <c r="DD4" s="561"/>
      <c r="DE4" s="561"/>
      <c r="DF4" s="561"/>
      <c r="DG4" s="562" t="str">
        <f>IF(Características!C15&lt;&gt;"",Características!C15,"")</f>
        <v/>
      </c>
      <c r="DH4" s="562"/>
      <c r="DI4" s="247"/>
      <c r="DJ4" s="247"/>
      <c r="DK4" s="37"/>
      <c r="DL4" s="37"/>
      <c r="DM4" s="37"/>
      <c r="DN4" s="37"/>
      <c r="DO4" s="267"/>
    </row>
    <row r="5" spans="1:126" ht="13.05" customHeight="1" x14ac:dyDescent="0.25">
      <c r="A5" s="26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 t="str">
        <f xml:space="preserve"> IF(Características!E13&lt;&gt;"",Características!E13,"")</f>
        <v/>
      </c>
      <c r="N5" s="37"/>
      <c r="O5" s="37"/>
      <c r="P5" s="37"/>
      <c r="Q5" s="37"/>
      <c r="R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247"/>
      <c r="AG5" s="247"/>
      <c r="AH5" s="247"/>
      <c r="AI5" s="247"/>
      <c r="AJ5" s="247"/>
      <c r="AK5" s="37"/>
      <c r="AL5" s="37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247"/>
      <c r="CL5" s="247"/>
      <c r="CM5" s="247"/>
      <c r="CN5" s="247"/>
      <c r="CO5" s="247"/>
      <c r="CP5" s="247"/>
      <c r="CQ5" s="245"/>
      <c r="CR5" s="245"/>
      <c r="CS5" s="245"/>
      <c r="CT5" s="245"/>
      <c r="CU5" s="245"/>
      <c r="CV5" s="245"/>
      <c r="CW5" s="245"/>
      <c r="CX5" s="245"/>
      <c r="CY5" s="245"/>
      <c r="CZ5" s="247"/>
      <c r="DA5" s="247"/>
      <c r="DB5" s="247"/>
      <c r="DC5" s="247"/>
      <c r="DD5" s="247"/>
      <c r="DE5" s="247"/>
      <c r="DF5" s="245"/>
      <c r="DG5" s="245"/>
      <c r="DH5" s="245"/>
      <c r="DI5" s="245"/>
      <c r="DJ5" s="245"/>
      <c r="DK5" s="248"/>
      <c r="DL5" s="248"/>
      <c r="DM5" s="248"/>
      <c r="DN5" s="248"/>
      <c r="DO5" s="242"/>
    </row>
    <row r="6" spans="1:126" ht="13.05" customHeight="1" thickBot="1" x14ac:dyDescent="0.3">
      <c r="A6" s="272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278"/>
      <c r="DL6" s="278"/>
      <c r="DM6" s="278"/>
      <c r="DN6" s="278"/>
      <c r="DO6" s="274"/>
    </row>
    <row r="7" spans="1:126" ht="13.05" customHeight="1" thickBot="1" x14ac:dyDescent="0.3"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N7" s="39"/>
      <c r="CO7" s="39"/>
      <c r="CQ7" s="35"/>
      <c r="CR7" s="35"/>
      <c r="CS7" s="35"/>
      <c r="CT7" s="35"/>
      <c r="CU7" s="35"/>
      <c r="CV7" s="35"/>
      <c r="CW7" s="35"/>
      <c r="CX7" s="35"/>
      <c r="CY7" s="35"/>
      <c r="DK7" s="39"/>
      <c r="DL7" s="39"/>
      <c r="DM7" s="39"/>
      <c r="DN7" s="39"/>
      <c r="DO7" s="39"/>
    </row>
    <row r="8" spans="1:126" ht="13.05" customHeight="1" x14ac:dyDescent="0.25">
      <c r="A8" s="261"/>
      <c r="B8" s="563" t="s">
        <v>419</v>
      </c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62"/>
      <c r="AL8" s="262"/>
      <c r="AM8" s="262"/>
      <c r="AN8" s="262"/>
      <c r="AO8" s="262"/>
      <c r="AP8" s="262"/>
      <c r="AQ8" s="262"/>
      <c r="AR8" s="262"/>
      <c r="AS8" s="295"/>
      <c r="AT8" s="37"/>
      <c r="AU8" s="37"/>
      <c r="AV8" s="296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95"/>
      <c r="CN8" s="261"/>
      <c r="CO8" s="563" t="s">
        <v>408</v>
      </c>
      <c r="CP8" s="563"/>
      <c r="CQ8" s="563"/>
      <c r="CR8" s="563"/>
      <c r="CS8" s="563"/>
      <c r="CT8" s="563"/>
      <c r="CU8" s="563"/>
      <c r="CV8" s="563"/>
      <c r="CW8" s="563"/>
      <c r="CX8" s="563"/>
      <c r="CY8" s="563"/>
      <c r="CZ8" s="563"/>
      <c r="DA8" s="563"/>
      <c r="DB8" s="563"/>
      <c r="DC8" s="563"/>
      <c r="DD8" s="563"/>
      <c r="DE8" s="563"/>
      <c r="DF8" s="563"/>
      <c r="DG8" s="563"/>
      <c r="DH8" s="563"/>
      <c r="DI8" s="563"/>
      <c r="DJ8" s="563"/>
      <c r="DK8" s="563"/>
      <c r="DL8" s="563"/>
      <c r="DM8" s="563"/>
      <c r="DN8" s="563"/>
      <c r="DO8" s="263"/>
    </row>
    <row r="9" spans="1:126" s="41" customFormat="1" ht="13.05" customHeight="1" thickBot="1" x14ac:dyDescent="0.25">
      <c r="A9" s="264"/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AS9" s="265"/>
      <c r="AV9" s="310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11"/>
      <c r="CN9" s="264"/>
      <c r="CO9" s="636" t="s">
        <v>27</v>
      </c>
      <c r="CP9" s="636"/>
      <c r="CQ9" s="636"/>
      <c r="CR9" s="636"/>
      <c r="CS9" s="636"/>
      <c r="CT9" s="636"/>
      <c r="CU9" s="636"/>
      <c r="CV9" s="636"/>
      <c r="CW9" s="636"/>
      <c r="CX9" s="636"/>
      <c r="CY9" s="115"/>
      <c r="CZ9" s="115"/>
      <c r="DA9" s="115"/>
      <c r="DB9" s="115"/>
      <c r="DC9" s="115"/>
      <c r="DD9" s="115"/>
      <c r="DE9" s="115"/>
      <c r="DF9" s="115"/>
      <c r="DG9" s="239"/>
      <c r="DH9" s="115" t="s">
        <v>19</v>
      </c>
      <c r="DI9" s="239"/>
      <c r="DJ9" s="590" t="s">
        <v>515</v>
      </c>
      <c r="DK9" s="590"/>
      <c r="DL9" s="590"/>
      <c r="DM9" s="590"/>
      <c r="DN9" s="590"/>
      <c r="DO9" s="265"/>
    </row>
    <row r="10" spans="1:126" ht="13.05" customHeight="1" thickBot="1" x14ac:dyDescent="0.3">
      <c r="A10" s="266"/>
      <c r="B10" s="599" t="s">
        <v>32</v>
      </c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2">
        <f>Características!G20</f>
        <v>0</v>
      </c>
      <c r="O10" s="593"/>
      <c r="P10" s="593"/>
      <c r="Q10" s="593"/>
      <c r="R10" s="593"/>
      <c r="S10" s="593"/>
      <c r="T10" s="594"/>
      <c r="U10" s="247"/>
      <c r="V10" s="247"/>
      <c r="W10" s="247"/>
      <c r="X10" s="599" t="s">
        <v>30</v>
      </c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2">
        <f>Características!G28</f>
        <v>0</v>
      </c>
      <c r="AK10" s="593"/>
      <c r="AL10" s="593"/>
      <c r="AM10" s="593"/>
      <c r="AN10" s="593"/>
      <c r="AO10" s="593"/>
      <c r="AP10" s="594"/>
      <c r="AQ10" s="247"/>
      <c r="AR10" s="247"/>
      <c r="AS10" s="267"/>
      <c r="AT10" s="247"/>
      <c r="AU10" s="247"/>
      <c r="AV10" s="310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11"/>
      <c r="CN10" s="266"/>
      <c r="CO10" s="551" t="str">
        <f>Magias!BC7</f>
        <v/>
      </c>
      <c r="CP10" s="551"/>
      <c r="CQ10" s="551"/>
      <c r="CR10" s="551"/>
      <c r="CS10" s="551"/>
      <c r="CT10" s="551"/>
      <c r="CU10" s="551"/>
      <c r="CV10" s="551"/>
      <c r="CW10" s="551"/>
      <c r="CX10" s="551"/>
      <c r="CY10" s="551"/>
      <c r="CZ10" s="551"/>
      <c r="DA10" s="551"/>
      <c r="DB10" s="551"/>
      <c r="DC10" s="551"/>
      <c r="DD10" s="551"/>
      <c r="DE10" s="551"/>
      <c r="DF10" s="551"/>
      <c r="DG10" s="551"/>
      <c r="DH10" s="197" t="str">
        <f>Magias!CI7</f>
        <v/>
      </c>
      <c r="DI10" s="39"/>
      <c r="DJ10" s="573" t="str">
        <f>IF(DH10&lt;&gt;"",Magias!CI7+AUR,"")</f>
        <v/>
      </c>
      <c r="DK10" s="573"/>
      <c r="DL10" s="573"/>
      <c r="DM10" s="573"/>
      <c r="DN10" s="573"/>
      <c r="DO10" s="267"/>
      <c r="DP10" s="239"/>
      <c r="DQ10" s="239"/>
      <c r="DR10" s="239"/>
      <c r="DS10" s="239"/>
      <c r="DT10" s="239"/>
      <c r="DU10" s="239"/>
      <c r="DV10" s="239"/>
    </row>
    <row r="11" spans="1:126" ht="13.05" customHeight="1" thickBot="1" x14ac:dyDescent="0.3">
      <c r="A11" s="266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67"/>
      <c r="AT11" s="247"/>
      <c r="AU11" s="247"/>
      <c r="AV11" s="310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11"/>
      <c r="CN11" s="266"/>
      <c r="CO11" s="551" t="str">
        <f>Magias!BC8</f>
        <v/>
      </c>
      <c r="CP11" s="551"/>
      <c r="CQ11" s="551"/>
      <c r="CR11" s="551"/>
      <c r="CS11" s="551"/>
      <c r="CT11" s="551"/>
      <c r="CU11" s="551"/>
      <c r="CV11" s="551"/>
      <c r="CW11" s="551"/>
      <c r="CX11" s="551"/>
      <c r="CY11" s="551"/>
      <c r="CZ11" s="551"/>
      <c r="DA11" s="551"/>
      <c r="DB11" s="551"/>
      <c r="DC11" s="551"/>
      <c r="DD11" s="551"/>
      <c r="DE11" s="551"/>
      <c r="DF11" s="551"/>
      <c r="DG11" s="551"/>
      <c r="DH11" s="204" t="str">
        <f>Magias!CI8</f>
        <v/>
      </c>
      <c r="DI11" s="39"/>
      <c r="DJ11" s="573" t="str">
        <f>IF(DH11&lt;&gt;"",Magias!CI8+AUR,"")</f>
        <v/>
      </c>
      <c r="DK11" s="573"/>
      <c r="DL11" s="573"/>
      <c r="DM11" s="573"/>
      <c r="DN11" s="573"/>
      <c r="DO11" s="267"/>
      <c r="DP11" s="239"/>
      <c r="DQ11" s="239"/>
      <c r="DR11" s="239"/>
      <c r="DS11" s="239"/>
      <c r="DT11" s="239"/>
      <c r="DU11" s="239"/>
      <c r="DV11" s="239"/>
    </row>
    <row r="12" spans="1:126" ht="13.05" customHeight="1" thickBot="1" x14ac:dyDescent="0.3">
      <c r="A12" s="266"/>
      <c r="B12" s="599" t="s">
        <v>34</v>
      </c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2">
        <f>Características!G22</f>
        <v>0</v>
      </c>
      <c r="O12" s="593"/>
      <c r="P12" s="593"/>
      <c r="Q12" s="593"/>
      <c r="R12" s="593"/>
      <c r="S12" s="593"/>
      <c r="T12" s="594"/>
      <c r="U12" s="247"/>
      <c r="V12" s="247"/>
      <c r="W12" s="247"/>
      <c r="X12" s="599" t="s">
        <v>31</v>
      </c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592">
        <f>Características!G30</f>
        <v>0</v>
      </c>
      <c r="AK12" s="593"/>
      <c r="AL12" s="593"/>
      <c r="AM12" s="593"/>
      <c r="AN12" s="593"/>
      <c r="AO12" s="593"/>
      <c r="AP12" s="594"/>
      <c r="AQ12" s="247"/>
      <c r="AR12" s="247"/>
      <c r="AS12" s="267"/>
      <c r="AT12" s="247"/>
      <c r="AU12" s="247"/>
      <c r="AV12" s="310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11"/>
      <c r="CN12" s="266"/>
      <c r="CO12" s="551" t="str">
        <f>Magias!BC9</f>
        <v/>
      </c>
      <c r="CP12" s="551"/>
      <c r="CQ12" s="551"/>
      <c r="CR12" s="551"/>
      <c r="CS12" s="551"/>
      <c r="CT12" s="551"/>
      <c r="CU12" s="551"/>
      <c r="CV12" s="551"/>
      <c r="CW12" s="551"/>
      <c r="CX12" s="551"/>
      <c r="CY12" s="551"/>
      <c r="CZ12" s="551"/>
      <c r="DA12" s="551"/>
      <c r="DB12" s="551"/>
      <c r="DC12" s="551"/>
      <c r="DD12" s="551"/>
      <c r="DE12" s="551"/>
      <c r="DF12" s="551"/>
      <c r="DG12" s="551"/>
      <c r="DH12" s="204" t="str">
        <f>Magias!CI9</f>
        <v/>
      </c>
      <c r="DI12" s="39"/>
      <c r="DJ12" s="573" t="str">
        <f>IF(DH12&lt;&gt;"",Magias!CI9+AUR,"")</f>
        <v/>
      </c>
      <c r="DK12" s="573"/>
      <c r="DL12" s="573"/>
      <c r="DM12" s="573"/>
      <c r="DN12" s="573"/>
      <c r="DO12" s="267"/>
      <c r="DP12" s="239"/>
      <c r="DQ12" s="239"/>
      <c r="DR12" s="239"/>
      <c r="DS12" s="239"/>
      <c r="DT12" s="239"/>
      <c r="DU12" s="239"/>
      <c r="DV12" s="239"/>
    </row>
    <row r="13" spans="1:126" ht="13.05" customHeight="1" thickBot="1" x14ac:dyDescent="0.3">
      <c r="A13" s="266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67"/>
      <c r="AT13" s="247"/>
      <c r="AU13" s="247"/>
      <c r="AV13" s="310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11"/>
      <c r="CN13" s="266"/>
      <c r="CO13" s="551" t="str">
        <f>Magias!BC10</f>
        <v/>
      </c>
      <c r="CP13" s="551"/>
      <c r="CQ13" s="551"/>
      <c r="CR13" s="551"/>
      <c r="CS13" s="551"/>
      <c r="CT13" s="551"/>
      <c r="CU13" s="551"/>
      <c r="CV13" s="551"/>
      <c r="CW13" s="551"/>
      <c r="CX13" s="551"/>
      <c r="CY13" s="551"/>
      <c r="CZ13" s="551"/>
      <c r="DA13" s="551"/>
      <c r="DB13" s="551"/>
      <c r="DC13" s="551"/>
      <c r="DD13" s="551"/>
      <c r="DE13" s="551"/>
      <c r="DF13" s="551"/>
      <c r="DG13" s="551"/>
      <c r="DH13" s="204" t="str">
        <f>Magias!CI10</f>
        <v/>
      </c>
      <c r="DI13" s="39"/>
      <c r="DJ13" s="573" t="str">
        <f>IF(DH13&lt;&gt;"",Magias!CI10+AUR,"")</f>
        <v/>
      </c>
      <c r="DK13" s="573"/>
      <c r="DL13" s="573"/>
      <c r="DM13" s="573"/>
      <c r="DN13" s="573"/>
      <c r="DO13" s="267"/>
      <c r="DP13" s="239"/>
      <c r="DQ13" s="239"/>
      <c r="DR13" s="239"/>
      <c r="DS13" s="239"/>
      <c r="DT13" s="239"/>
      <c r="DU13" s="239"/>
      <c r="DV13" s="239"/>
    </row>
    <row r="14" spans="1:126" ht="13.05" customHeight="1" thickBot="1" x14ac:dyDescent="0.3">
      <c r="A14" s="266"/>
      <c r="B14" s="599" t="s">
        <v>50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2">
        <f>Características!G24</f>
        <v>0</v>
      </c>
      <c r="O14" s="593"/>
      <c r="P14" s="593"/>
      <c r="Q14" s="593"/>
      <c r="R14" s="593"/>
      <c r="S14" s="593"/>
      <c r="T14" s="594"/>
      <c r="U14" s="247"/>
      <c r="V14" s="247"/>
      <c r="W14" s="247"/>
      <c r="X14" s="599" t="s">
        <v>33</v>
      </c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592">
        <f>Características!G32</f>
        <v>0</v>
      </c>
      <c r="AK14" s="593"/>
      <c r="AL14" s="593"/>
      <c r="AM14" s="593"/>
      <c r="AN14" s="593"/>
      <c r="AO14" s="593"/>
      <c r="AP14" s="594"/>
      <c r="AQ14" s="247"/>
      <c r="AR14" s="247"/>
      <c r="AS14" s="267"/>
      <c r="AT14" s="247"/>
      <c r="AU14" s="247"/>
      <c r="AV14" s="310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11"/>
      <c r="CN14" s="266"/>
      <c r="CO14" s="551" t="str">
        <f>Magias!BC11</f>
        <v/>
      </c>
      <c r="CP14" s="551"/>
      <c r="CQ14" s="551"/>
      <c r="CR14" s="551"/>
      <c r="CS14" s="551"/>
      <c r="CT14" s="551"/>
      <c r="CU14" s="551"/>
      <c r="CV14" s="551"/>
      <c r="CW14" s="551"/>
      <c r="CX14" s="551"/>
      <c r="CY14" s="551"/>
      <c r="CZ14" s="551"/>
      <c r="DA14" s="551"/>
      <c r="DB14" s="551"/>
      <c r="DC14" s="551"/>
      <c r="DD14" s="551"/>
      <c r="DE14" s="551"/>
      <c r="DF14" s="551"/>
      <c r="DG14" s="551"/>
      <c r="DH14" s="204" t="str">
        <f>Magias!CI11</f>
        <v/>
      </c>
      <c r="DI14" s="39"/>
      <c r="DJ14" s="573" t="str">
        <f>IF(DH14&lt;&gt;"",Magias!CI11+AUR,"")</f>
        <v/>
      </c>
      <c r="DK14" s="573"/>
      <c r="DL14" s="573"/>
      <c r="DM14" s="573"/>
      <c r="DN14" s="573"/>
      <c r="DO14" s="267"/>
      <c r="DP14" s="239"/>
      <c r="DQ14" s="239"/>
      <c r="DR14" s="239"/>
      <c r="DS14" s="239"/>
      <c r="DT14" s="239"/>
      <c r="DU14" s="239"/>
      <c r="DV14" s="239"/>
    </row>
    <row r="15" spans="1:126" ht="13.05" customHeight="1" thickBot="1" x14ac:dyDescent="0.3">
      <c r="A15" s="266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67"/>
      <c r="AT15" s="247"/>
      <c r="AU15" s="247"/>
      <c r="AV15" s="310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11"/>
      <c r="CN15" s="266"/>
      <c r="CO15" s="551" t="str">
        <f>Magias!BC12</f>
        <v/>
      </c>
      <c r="CP15" s="551"/>
      <c r="CQ15" s="551"/>
      <c r="CR15" s="551"/>
      <c r="CS15" s="551"/>
      <c r="CT15" s="551"/>
      <c r="CU15" s="551"/>
      <c r="CV15" s="551"/>
      <c r="CW15" s="551"/>
      <c r="CX15" s="551"/>
      <c r="CY15" s="551"/>
      <c r="CZ15" s="551"/>
      <c r="DA15" s="551"/>
      <c r="DB15" s="551"/>
      <c r="DC15" s="551"/>
      <c r="DD15" s="551"/>
      <c r="DE15" s="551"/>
      <c r="DF15" s="551"/>
      <c r="DG15" s="551"/>
      <c r="DH15" s="204" t="str">
        <f>Magias!CI12</f>
        <v/>
      </c>
      <c r="DI15" s="39"/>
      <c r="DJ15" s="573" t="str">
        <f>IF(DH15&lt;&gt;"",Magias!CI12+AUR,"")</f>
        <v/>
      </c>
      <c r="DK15" s="573"/>
      <c r="DL15" s="573"/>
      <c r="DM15" s="573"/>
      <c r="DN15" s="573"/>
      <c r="DO15" s="267"/>
      <c r="DP15" s="239"/>
      <c r="DQ15" s="239"/>
      <c r="DR15" s="239"/>
      <c r="DS15" s="239"/>
      <c r="DT15" s="239"/>
      <c r="DU15" s="239"/>
      <c r="DV15" s="239"/>
    </row>
    <row r="16" spans="1:126" ht="13.05" customHeight="1" thickBot="1" x14ac:dyDescent="0.25">
      <c r="A16" s="266"/>
      <c r="B16" s="599" t="s">
        <v>29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2">
        <f>Características!G26</f>
        <v>0</v>
      </c>
      <c r="O16" s="593"/>
      <c r="P16" s="593"/>
      <c r="Q16" s="593"/>
      <c r="R16" s="593"/>
      <c r="S16" s="593"/>
      <c r="T16" s="594"/>
      <c r="U16" s="247"/>
      <c r="V16" s="247"/>
      <c r="W16" s="247"/>
      <c r="X16" s="247"/>
      <c r="Y16" s="247"/>
      <c r="Z16" s="247"/>
      <c r="AA16" s="247"/>
      <c r="AB16" s="41"/>
      <c r="AC16" s="41"/>
      <c r="AD16" s="41"/>
      <c r="AE16" s="41"/>
      <c r="AF16" s="41"/>
      <c r="AG16" s="41"/>
      <c r="AH16" s="41"/>
      <c r="AI16" s="41"/>
      <c r="AJ16" s="41"/>
      <c r="AK16" s="247"/>
      <c r="AL16" s="247"/>
      <c r="AM16" s="247"/>
      <c r="AN16" s="247"/>
      <c r="AO16" s="247"/>
      <c r="AP16" s="247"/>
      <c r="AQ16" s="247"/>
      <c r="AR16" s="247"/>
      <c r="AS16" s="267"/>
      <c r="AT16" s="247"/>
      <c r="AU16" s="247"/>
      <c r="AV16" s="310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11"/>
      <c r="CN16" s="266"/>
      <c r="CO16" s="551" t="str">
        <f>Magias!BC13</f>
        <v/>
      </c>
      <c r="CP16" s="551"/>
      <c r="CQ16" s="551"/>
      <c r="CR16" s="551"/>
      <c r="CS16" s="551"/>
      <c r="CT16" s="551"/>
      <c r="CU16" s="551"/>
      <c r="CV16" s="551"/>
      <c r="CW16" s="551"/>
      <c r="CX16" s="551"/>
      <c r="CY16" s="551"/>
      <c r="CZ16" s="551"/>
      <c r="DA16" s="551"/>
      <c r="DB16" s="551"/>
      <c r="DC16" s="551"/>
      <c r="DD16" s="551"/>
      <c r="DE16" s="551"/>
      <c r="DF16" s="551"/>
      <c r="DG16" s="551"/>
      <c r="DH16" s="204" t="str">
        <f>Magias!CI13</f>
        <v/>
      </c>
      <c r="DI16" s="39"/>
      <c r="DJ16" s="573" t="str">
        <f>IF(DH16&lt;&gt;"",Magias!CI13+AUR,"")</f>
        <v/>
      </c>
      <c r="DK16" s="573"/>
      <c r="DL16" s="573"/>
      <c r="DM16" s="573"/>
      <c r="DN16" s="573"/>
      <c r="DO16" s="267"/>
      <c r="DP16" s="239"/>
      <c r="DQ16" s="239"/>
      <c r="DR16" s="239"/>
      <c r="DS16" s="239"/>
      <c r="DT16" s="37"/>
      <c r="DU16" s="37"/>
      <c r="DV16" s="239"/>
    </row>
    <row r="17" spans="1:129" ht="13.05" customHeight="1" x14ac:dyDescent="0.25">
      <c r="A17" s="266"/>
      <c r="B17" s="552" t="s">
        <v>420</v>
      </c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67"/>
      <c r="AT17" s="247"/>
      <c r="AU17" s="247"/>
      <c r="AV17" s="310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11"/>
      <c r="CN17" s="266"/>
      <c r="CO17" s="551" t="str">
        <f>Magias!BC14</f>
        <v/>
      </c>
      <c r="CP17" s="551"/>
      <c r="CQ17" s="551"/>
      <c r="CR17" s="551"/>
      <c r="CS17" s="551"/>
      <c r="CT17" s="551"/>
      <c r="CU17" s="551"/>
      <c r="CV17" s="551"/>
      <c r="CW17" s="551"/>
      <c r="CX17" s="551"/>
      <c r="CY17" s="551"/>
      <c r="CZ17" s="551"/>
      <c r="DA17" s="551"/>
      <c r="DB17" s="551"/>
      <c r="DC17" s="551"/>
      <c r="DD17" s="551"/>
      <c r="DE17" s="551"/>
      <c r="DF17" s="551"/>
      <c r="DG17" s="551"/>
      <c r="DH17" s="204" t="str">
        <f>Magias!CI14</f>
        <v/>
      </c>
      <c r="DI17" s="39"/>
      <c r="DJ17" s="573" t="str">
        <f>IF(DH17&lt;&gt;"",Magias!CI14+AUR,"")</f>
        <v/>
      </c>
      <c r="DK17" s="573"/>
      <c r="DL17" s="573"/>
      <c r="DM17" s="573"/>
      <c r="DN17" s="573"/>
      <c r="DO17" s="267"/>
      <c r="DP17" s="239"/>
      <c r="DQ17" s="239"/>
      <c r="DR17" s="239"/>
      <c r="DS17" s="239"/>
      <c r="DT17" s="37"/>
      <c r="DU17" s="37"/>
      <c r="DV17" s="239"/>
    </row>
    <row r="18" spans="1:129" ht="13.05" customHeight="1" thickBot="1" x14ac:dyDescent="0.3">
      <c r="A18" s="266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67"/>
      <c r="AT18" s="247"/>
      <c r="AU18" s="247"/>
      <c r="AV18" s="310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11"/>
      <c r="CN18" s="266"/>
      <c r="CO18" s="551" t="str">
        <f>Magias!BC15</f>
        <v/>
      </c>
      <c r="CP18" s="551"/>
      <c r="CQ18" s="551"/>
      <c r="CR18" s="551"/>
      <c r="CS18" s="551"/>
      <c r="CT18" s="551"/>
      <c r="CU18" s="551"/>
      <c r="CV18" s="551"/>
      <c r="CW18" s="551"/>
      <c r="CX18" s="551"/>
      <c r="CY18" s="551"/>
      <c r="CZ18" s="551"/>
      <c r="DA18" s="551"/>
      <c r="DB18" s="551"/>
      <c r="DC18" s="551"/>
      <c r="DD18" s="551"/>
      <c r="DE18" s="551"/>
      <c r="DF18" s="551"/>
      <c r="DG18" s="551"/>
      <c r="DH18" s="204" t="str">
        <f>Magias!CI15</f>
        <v/>
      </c>
      <c r="DI18" s="39"/>
      <c r="DJ18" s="573" t="str">
        <f>IF(DH18&lt;&gt;"",Magias!CI15+AUR,"")</f>
        <v/>
      </c>
      <c r="DK18" s="573"/>
      <c r="DL18" s="573"/>
      <c r="DM18" s="573"/>
      <c r="DN18" s="573"/>
      <c r="DO18" s="267"/>
      <c r="DP18" s="239"/>
      <c r="DQ18" s="239"/>
      <c r="DR18" s="239"/>
      <c r="DS18" s="239"/>
      <c r="DT18" s="37"/>
      <c r="DU18" s="37"/>
      <c r="DV18" s="239"/>
    </row>
    <row r="19" spans="1:129" ht="13.05" customHeight="1" thickBot="1" x14ac:dyDescent="0.3">
      <c r="A19" s="266"/>
      <c r="B19" s="247" t="s">
        <v>488</v>
      </c>
      <c r="C19" s="247"/>
      <c r="D19" s="247"/>
      <c r="E19" s="247"/>
      <c r="F19" s="247"/>
      <c r="G19" s="245"/>
      <c r="H19" s="245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556">
        <f>FIS+Estagio</f>
        <v>1</v>
      </c>
      <c r="X19" s="557"/>
      <c r="Y19" s="557"/>
      <c r="Z19" s="557"/>
      <c r="AA19" s="557"/>
      <c r="AB19" s="558"/>
      <c r="AC19" s="245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247"/>
      <c r="AS19" s="267"/>
      <c r="AT19" s="247"/>
      <c r="AU19" s="43"/>
      <c r="AV19" s="310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11"/>
      <c r="CN19" s="266"/>
      <c r="CO19" s="551" t="str">
        <f>Magias!BC16</f>
        <v/>
      </c>
      <c r="CP19" s="551"/>
      <c r="CQ19" s="551"/>
      <c r="CR19" s="551"/>
      <c r="CS19" s="551"/>
      <c r="CT19" s="551"/>
      <c r="CU19" s="551"/>
      <c r="CV19" s="551"/>
      <c r="CW19" s="551"/>
      <c r="CX19" s="551"/>
      <c r="CY19" s="551"/>
      <c r="CZ19" s="551"/>
      <c r="DA19" s="551"/>
      <c r="DB19" s="551"/>
      <c r="DC19" s="551"/>
      <c r="DD19" s="551"/>
      <c r="DE19" s="551"/>
      <c r="DF19" s="551"/>
      <c r="DG19" s="551"/>
      <c r="DH19" s="204" t="str">
        <f>Magias!CI16</f>
        <v/>
      </c>
      <c r="DI19" s="39"/>
      <c r="DJ19" s="573" t="str">
        <f>IF(DH19&lt;&gt;"",Magias!CI16+AUR,"")</f>
        <v/>
      </c>
      <c r="DK19" s="573"/>
      <c r="DL19" s="573"/>
      <c r="DM19" s="573"/>
      <c r="DN19" s="573"/>
      <c r="DO19" s="267"/>
      <c r="DP19" s="239"/>
      <c r="DQ19" s="239"/>
      <c r="DR19" s="239"/>
      <c r="DS19" s="239"/>
      <c r="DT19" s="239"/>
      <c r="DU19" s="239"/>
      <c r="DV19" s="239"/>
      <c r="DW19" s="239"/>
    </row>
    <row r="20" spans="1:129" ht="13.05" customHeight="1" thickBot="1" x14ac:dyDescent="0.3">
      <c r="A20" s="266"/>
      <c r="B20" s="247"/>
      <c r="C20" s="247"/>
      <c r="D20" s="247"/>
      <c r="E20" s="247"/>
      <c r="F20" s="247"/>
      <c r="G20" s="37"/>
      <c r="H20" s="3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5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67"/>
      <c r="AT20" s="247"/>
      <c r="AU20" s="247"/>
      <c r="AV20" s="310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11"/>
      <c r="CN20" s="266"/>
      <c r="CO20" s="551" t="str">
        <f>Magias!BC17</f>
        <v/>
      </c>
      <c r="CP20" s="551"/>
      <c r="CQ20" s="551"/>
      <c r="CR20" s="551"/>
      <c r="CS20" s="551"/>
      <c r="CT20" s="551"/>
      <c r="CU20" s="551"/>
      <c r="CV20" s="551"/>
      <c r="CW20" s="551"/>
      <c r="CX20" s="551"/>
      <c r="CY20" s="551"/>
      <c r="CZ20" s="551"/>
      <c r="DA20" s="551"/>
      <c r="DB20" s="551"/>
      <c r="DC20" s="551"/>
      <c r="DD20" s="551"/>
      <c r="DE20" s="551"/>
      <c r="DF20" s="551"/>
      <c r="DG20" s="551"/>
      <c r="DH20" s="204" t="str">
        <f>Magias!CI17</f>
        <v/>
      </c>
      <c r="DI20" s="39"/>
      <c r="DJ20" s="573" t="str">
        <f>IF(DH20&lt;&gt;"",Magias!CI17+AUR,"")</f>
        <v/>
      </c>
      <c r="DK20" s="573"/>
      <c r="DL20" s="573"/>
      <c r="DM20" s="573"/>
      <c r="DN20" s="573"/>
      <c r="DO20" s="267"/>
      <c r="DP20" s="239"/>
      <c r="DQ20" s="239"/>
      <c r="DR20" s="239"/>
      <c r="DS20" s="239"/>
      <c r="DT20" s="239"/>
      <c r="DU20" s="239"/>
      <c r="DV20" s="239"/>
    </row>
    <row r="21" spans="1:129" ht="13.05" customHeight="1" thickBot="1" x14ac:dyDescent="0.3">
      <c r="A21" s="266"/>
      <c r="B21" s="247" t="s">
        <v>489</v>
      </c>
      <c r="C21" s="247"/>
      <c r="D21" s="247"/>
      <c r="E21" s="247"/>
      <c r="F21" s="247"/>
      <c r="G21" s="245"/>
      <c r="H21" s="245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556">
        <f>AUR+Estagio</f>
        <v>1</v>
      </c>
      <c r="X21" s="557"/>
      <c r="Y21" s="557"/>
      <c r="Z21" s="557"/>
      <c r="AA21" s="557"/>
      <c r="AB21" s="558"/>
      <c r="AC21" s="245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67"/>
      <c r="AT21" s="247"/>
      <c r="AU21" s="247"/>
      <c r="AV21" s="310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11"/>
      <c r="CN21" s="266"/>
      <c r="CO21" s="551" t="str">
        <f>Magias!BC18</f>
        <v/>
      </c>
      <c r="CP21" s="551"/>
      <c r="CQ21" s="551"/>
      <c r="CR21" s="551"/>
      <c r="CS21" s="551"/>
      <c r="CT21" s="551"/>
      <c r="CU21" s="551"/>
      <c r="CV21" s="551"/>
      <c r="CW21" s="551"/>
      <c r="CX21" s="551"/>
      <c r="CY21" s="551"/>
      <c r="CZ21" s="551"/>
      <c r="DA21" s="551"/>
      <c r="DB21" s="551"/>
      <c r="DC21" s="551"/>
      <c r="DD21" s="551"/>
      <c r="DE21" s="551"/>
      <c r="DF21" s="551"/>
      <c r="DG21" s="551"/>
      <c r="DH21" s="204" t="str">
        <f>Magias!CI18</f>
        <v/>
      </c>
      <c r="DI21" s="39"/>
      <c r="DJ21" s="573" t="str">
        <f>IF(DH21&lt;&gt;"",Magias!CI18+AUR,"")</f>
        <v/>
      </c>
      <c r="DK21" s="573"/>
      <c r="DL21" s="573"/>
      <c r="DM21" s="573"/>
      <c r="DN21" s="573"/>
      <c r="DO21" s="267"/>
      <c r="DP21" s="239"/>
      <c r="DQ21" s="239"/>
      <c r="DR21" s="239"/>
      <c r="DS21" s="239"/>
      <c r="DT21" s="239"/>
      <c r="DU21" s="239"/>
      <c r="DV21" s="239"/>
    </row>
    <row r="22" spans="1:129" ht="13.05" customHeight="1" thickBot="1" x14ac:dyDescent="0.3">
      <c r="A22" s="266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5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67"/>
      <c r="AT22" s="247"/>
      <c r="AU22" s="247"/>
      <c r="AV22" s="310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11"/>
      <c r="CN22" s="266"/>
      <c r="CO22" s="551" t="str">
        <f>Magias!BC19</f>
        <v/>
      </c>
      <c r="CP22" s="551"/>
      <c r="CQ22" s="551"/>
      <c r="CR22" s="551"/>
      <c r="CS22" s="551"/>
      <c r="CT22" s="551"/>
      <c r="CU22" s="551"/>
      <c r="CV22" s="551"/>
      <c r="CW22" s="551"/>
      <c r="CX22" s="551"/>
      <c r="CY22" s="551"/>
      <c r="CZ22" s="551"/>
      <c r="DA22" s="551"/>
      <c r="DB22" s="551"/>
      <c r="DC22" s="551"/>
      <c r="DD22" s="551"/>
      <c r="DE22" s="551"/>
      <c r="DF22" s="551"/>
      <c r="DG22" s="551"/>
      <c r="DH22" s="204" t="str">
        <f>Magias!CI19</f>
        <v/>
      </c>
      <c r="DI22" s="39"/>
      <c r="DJ22" s="573" t="str">
        <f>IF(DH22&lt;&gt;"",Magias!CI19+AUR,"")</f>
        <v/>
      </c>
      <c r="DK22" s="573"/>
      <c r="DL22" s="573"/>
      <c r="DM22" s="573"/>
      <c r="DN22" s="573"/>
      <c r="DO22" s="267"/>
      <c r="DP22" s="239"/>
      <c r="DQ22" s="239"/>
      <c r="DR22" s="239"/>
      <c r="DS22" s="239"/>
      <c r="DT22" s="239"/>
      <c r="DU22" s="239"/>
      <c r="DV22" s="239"/>
    </row>
    <row r="23" spans="1:129" ht="13.05" customHeight="1" thickBot="1" x14ac:dyDescent="0.3">
      <c r="A23" s="266"/>
      <c r="B23" s="37" t="s">
        <v>55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556" t="e">
        <f>VLOOKUP(Raça,TabelaRaça,2,FALSE)+FIS</f>
        <v>#N/A</v>
      </c>
      <c r="X23" s="557"/>
      <c r="Y23" s="557"/>
      <c r="Z23" s="557"/>
      <c r="AA23" s="557"/>
      <c r="AB23" s="558"/>
      <c r="AC23" s="245"/>
      <c r="AD23" s="24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247"/>
      <c r="AR23" s="247"/>
      <c r="AS23" s="267"/>
      <c r="AT23" s="247"/>
      <c r="AU23" s="248"/>
      <c r="AV23" s="310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11"/>
      <c r="CN23" s="266"/>
      <c r="CO23" s="551" t="str">
        <f>Magias!BC20</f>
        <v/>
      </c>
      <c r="CP23" s="551"/>
      <c r="CQ23" s="551"/>
      <c r="CR23" s="551"/>
      <c r="CS23" s="551"/>
      <c r="CT23" s="551"/>
      <c r="CU23" s="551"/>
      <c r="CV23" s="551"/>
      <c r="CW23" s="551"/>
      <c r="CX23" s="551"/>
      <c r="CY23" s="551"/>
      <c r="CZ23" s="551"/>
      <c r="DA23" s="551"/>
      <c r="DB23" s="551"/>
      <c r="DC23" s="551"/>
      <c r="DD23" s="551"/>
      <c r="DE23" s="551"/>
      <c r="DF23" s="551"/>
      <c r="DG23" s="551"/>
      <c r="DH23" s="204" t="str">
        <f>Magias!CI20</f>
        <v/>
      </c>
      <c r="DI23" s="39"/>
      <c r="DJ23" s="573" t="str">
        <f>IF(DH23&lt;&gt;"",Magias!CI20+AUR,"")</f>
        <v/>
      </c>
      <c r="DK23" s="573"/>
      <c r="DL23" s="573"/>
      <c r="DM23" s="573"/>
      <c r="DN23" s="573"/>
      <c r="DO23" s="267"/>
      <c r="DP23" s="239"/>
      <c r="DQ23" s="239"/>
      <c r="DR23" s="239"/>
      <c r="DS23" s="239"/>
      <c r="DT23" s="239"/>
      <c r="DU23" s="239"/>
      <c r="DV23" s="239"/>
    </row>
    <row r="24" spans="1:129" ht="13.05" customHeight="1" thickBot="1" x14ac:dyDescent="0.3">
      <c r="A24" s="272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274"/>
      <c r="AT24" s="247"/>
      <c r="AU24" s="247"/>
      <c r="AV24" s="312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313"/>
      <c r="CN24" s="266"/>
      <c r="CO24" s="551" t="str">
        <f>Magias!BC21</f>
        <v/>
      </c>
      <c r="CP24" s="551"/>
      <c r="CQ24" s="551"/>
      <c r="CR24" s="551"/>
      <c r="CS24" s="551"/>
      <c r="CT24" s="551"/>
      <c r="CU24" s="551"/>
      <c r="CV24" s="551"/>
      <c r="CW24" s="551"/>
      <c r="CX24" s="551"/>
      <c r="CY24" s="551"/>
      <c r="CZ24" s="551"/>
      <c r="DA24" s="551"/>
      <c r="DB24" s="551"/>
      <c r="DC24" s="551"/>
      <c r="DD24" s="551"/>
      <c r="DE24" s="551"/>
      <c r="DF24" s="551"/>
      <c r="DG24" s="551"/>
      <c r="DH24" s="204" t="str">
        <f>Magias!CI21</f>
        <v/>
      </c>
      <c r="DI24" s="39"/>
      <c r="DJ24" s="573" t="str">
        <f>IF(DH24&lt;&gt;"",Magias!CI21+AUR,"")</f>
        <v/>
      </c>
      <c r="DK24" s="573"/>
      <c r="DL24" s="573"/>
      <c r="DM24" s="573"/>
      <c r="DN24" s="573"/>
      <c r="DO24" s="267"/>
      <c r="DP24" s="35"/>
      <c r="DQ24" s="35"/>
      <c r="DR24" s="35"/>
      <c r="DS24" s="35"/>
      <c r="DT24" s="35"/>
      <c r="DU24" s="239"/>
      <c r="DV24" s="239"/>
    </row>
    <row r="25" spans="1:129" s="196" customFormat="1" ht="13.05" customHeight="1" thickBot="1" x14ac:dyDescent="0.25"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CK25" s="42"/>
      <c r="CL25" s="42"/>
      <c r="CM25" s="42"/>
      <c r="CN25" s="266"/>
      <c r="CO25" s="551" t="str">
        <f>Magias!BC22</f>
        <v/>
      </c>
      <c r="CP25" s="551"/>
      <c r="CQ25" s="551"/>
      <c r="CR25" s="551"/>
      <c r="CS25" s="551"/>
      <c r="CT25" s="551"/>
      <c r="CU25" s="551"/>
      <c r="CV25" s="551"/>
      <c r="CW25" s="551"/>
      <c r="CX25" s="551"/>
      <c r="CY25" s="551"/>
      <c r="CZ25" s="551"/>
      <c r="DA25" s="551"/>
      <c r="DB25" s="551"/>
      <c r="DC25" s="551"/>
      <c r="DD25" s="551"/>
      <c r="DE25" s="551"/>
      <c r="DF25" s="551"/>
      <c r="DG25" s="551"/>
      <c r="DH25" s="204" t="str">
        <f>Magias!CI22</f>
        <v/>
      </c>
      <c r="DI25" s="39"/>
      <c r="DJ25" s="573" t="str">
        <f>IF(DH25&lt;&gt;"",Magias!CI22+AUR,"")</f>
        <v/>
      </c>
      <c r="DK25" s="573"/>
      <c r="DL25" s="573"/>
      <c r="DM25" s="573"/>
      <c r="DN25" s="573"/>
      <c r="DO25" s="267"/>
      <c r="DP25" s="36"/>
      <c r="DQ25" s="36"/>
      <c r="DR25" s="36"/>
      <c r="DS25" s="36"/>
      <c r="DT25" s="36"/>
    </row>
    <row r="26" spans="1:129" s="35" customFormat="1" ht="13.05" customHeight="1" x14ac:dyDescent="0.2">
      <c r="A26" s="241"/>
      <c r="B26" s="604" t="s">
        <v>23</v>
      </c>
      <c r="C26" s="604"/>
      <c r="D26" s="60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  <c r="P26" s="604"/>
      <c r="Q26" s="604"/>
      <c r="R26" s="604"/>
      <c r="S26" s="604"/>
      <c r="T26" s="604"/>
      <c r="U26" s="604"/>
      <c r="V26" s="604"/>
      <c r="W26" s="604"/>
      <c r="X26" s="604"/>
      <c r="Y26" s="604"/>
      <c r="Z26" s="604"/>
      <c r="AA26" s="604"/>
      <c r="AB26" s="604"/>
      <c r="AC26" s="604"/>
      <c r="AD26" s="604"/>
      <c r="AE26" s="604"/>
      <c r="AF26" s="604"/>
      <c r="AG26" s="604"/>
      <c r="AH26" s="604"/>
      <c r="AI26" s="604"/>
      <c r="AJ26" s="604"/>
      <c r="AK26" s="604"/>
      <c r="AL26" s="604"/>
      <c r="AM26" s="604"/>
      <c r="AN26" s="604"/>
      <c r="AO26" s="604"/>
      <c r="AP26" s="604"/>
      <c r="AQ26" s="604"/>
      <c r="AR26" s="604"/>
      <c r="AS26" s="604"/>
      <c r="AT26" s="605"/>
      <c r="AU26" s="605"/>
      <c r="AV26" s="605"/>
      <c r="AW26" s="605"/>
      <c r="AX26" s="605"/>
      <c r="AY26" s="605"/>
      <c r="AZ26" s="605"/>
      <c r="BA26" s="605"/>
      <c r="BB26" s="605"/>
      <c r="BC26" s="605"/>
      <c r="BD26" s="605"/>
      <c r="BE26" s="605"/>
      <c r="BF26" s="605"/>
      <c r="BG26" s="604"/>
      <c r="BH26" s="604"/>
      <c r="BI26" s="604"/>
      <c r="BJ26" s="604"/>
      <c r="BK26" s="604"/>
      <c r="BL26" s="604"/>
      <c r="BM26" s="604"/>
      <c r="BN26" s="604"/>
      <c r="BO26" s="604"/>
      <c r="BP26" s="604"/>
      <c r="BQ26" s="604"/>
      <c r="BR26" s="604"/>
      <c r="BS26" s="604"/>
      <c r="BT26" s="604"/>
      <c r="BU26" s="604"/>
      <c r="BV26" s="604"/>
      <c r="BW26" s="604"/>
      <c r="BX26" s="604"/>
      <c r="BY26" s="604"/>
      <c r="BZ26" s="604"/>
      <c r="CA26" s="604"/>
      <c r="CB26" s="604"/>
      <c r="CC26" s="604"/>
      <c r="CD26" s="604"/>
      <c r="CE26" s="604"/>
      <c r="CF26" s="604"/>
      <c r="CG26" s="604"/>
      <c r="CH26" s="604"/>
      <c r="CI26" s="604"/>
      <c r="CJ26" s="604"/>
      <c r="CK26" s="243"/>
      <c r="CL26" s="263"/>
      <c r="CM26" s="36"/>
      <c r="CN26" s="266"/>
      <c r="CO26" s="551" t="str">
        <f>Magias!BC23</f>
        <v/>
      </c>
      <c r="CP26" s="551"/>
      <c r="CQ26" s="551"/>
      <c r="CR26" s="551"/>
      <c r="CS26" s="551"/>
      <c r="CT26" s="551"/>
      <c r="CU26" s="551"/>
      <c r="CV26" s="551"/>
      <c r="CW26" s="551"/>
      <c r="CX26" s="551"/>
      <c r="CY26" s="551"/>
      <c r="CZ26" s="551"/>
      <c r="DA26" s="551"/>
      <c r="DB26" s="551"/>
      <c r="DC26" s="551"/>
      <c r="DD26" s="551"/>
      <c r="DE26" s="551"/>
      <c r="DF26" s="551"/>
      <c r="DG26" s="551"/>
      <c r="DH26" s="204" t="str">
        <f>Magias!CI23</f>
        <v/>
      </c>
      <c r="DI26" s="39"/>
      <c r="DJ26" s="573" t="str">
        <f>IF(DH26&lt;&gt;"",Magias!CI23+AUR,"")</f>
        <v/>
      </c>
      <c r="DK26" s="573"/>
      <c r="DL26" s="573"/>
      <c r="DM26" s="573"/>
      <c r="DN26" s="573"/>
      <c r="DO26" s="267"/>
      <c r="DP26" s="36"/>
      <c r="DQ26" s="36"/>
      <c r="DR26" s="36"/>
      <c r="DS26" s="36"/>
      <c r="DT26" s="36"/>
    </row>
    <row r="27" spans="1:129" ht="13.05" customHeight="1" thickBot="1" x14ac:dyDescent="0.3">
      <c r="A27" s="266"/>
      <c r="B27" s="596" t="s">
        <v>14</v>
      </c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112"/>
      <c r="Y27" s="590" t="s">
        <v>17</v>
      </c>
      <c r="Z27" s="590"/>
      <c r="AA27" s="590"/>
      <c r="AB27" s="590"/>
      <c r="AC27" s="590"/>
      <c r="AD27" s="112"/>
      <c r="AE27" s="596" t="s">
        <v>15</v>
      </c>
      <c r="AF27" s="596"/>
      <c r="AG27" s="596"/>
      <c r="AH27" s="596"/>
      <c r="AI27" s="596"/>
      <c r="AJ27" s="596"/>
      <c r="AK27" s="596"/>
      <c r="AL27" s="596"/>
      <c r="AM27" s="596"/>
      <c r="AN27" s="596"/>
      <c r="AO27" s="596"/>
      <c r="AP27" s="596"/>
      <c r="AQ27" s="596"/>
      <c r="AR27" s="596"/>
      <c r="AS27" s="596"/>
      <c r="AT27" s="596"/>
      <c r="AU27" s="596"/>
      <c r="AV27" s="596"/>
      <c r="AW27" s="596"/>
      <c r="AX27" s="596"/>
      <c r="AY27" s="596"/>
      <c r="AZ27" s="596"/>
      <c r="BA27" s="112"/>
      <c r="BB27" s="590" t="s">
        <v>17</v>
      </c>
      <c r="BC27" s="590"/>
      <c r="BD27" s="590"/>
      <c r="BE27" s="590"/>
      <c r="BF27" s="590"/>
      <c r="BG27" s="112"/>
      <c r="BH27" s="606" t="s">
        <v>61</v>
      </c>
      <c r="BI27" s="606"/>
      <c r="BJ27" s="606"/>
      <c r="BK27" s="606"/>
      <c r="BL27" s="606"/>
      <c r="BM27" s="606"/>
      <c r="BN27" s="606"/>
      <c r="BO27" s="606"/>
      <c r="BP27" s="606"/>
      <c r="BQ27" s="606"/>
      <c r="BR27" s="606"/>
      <c r="BS27" s="606"/>
      <c r="BT27" s="606"/>
      <c r="BU27" s="606"/>
      <c r="BV27" s="606"/>
      <c r="BW27" s="606"/>
      <c r="BX27" s="606"/>
      <c r="BY27" s="606"/>
      <c r="BZ27" s="606"/>
      <c r="CA27" s="606"/>
      <c r="CB27" s="606"/>
      <c r="CC27" s="606"/>
      <c r="CD27" s="112"/>
      <c r="CE27" s="590" t="s">
        <v>17</v>
      </c>
      <c r="CF27" s="590"/>
      <c r="CG27" s="590"/>
      <c r="CH27" s="590"/>
      <c r="CI27" s="590"/>
      <c r="CJ27" s="115"/>
      <c r="CK27" s="239"/>
      <c r="CL27" s="267"/>
      <c r="CN27" s="266"/>
      <c r="CO27" s="551" t="str">
        <f>Magias!BC24</f>
        <v/>
      </c>
      <c r="CP27" s="551"/>
      <c r="CQ27" s="551"/>
      <c r="CR27" s="551"/>
      <c r="CS27" s="551"/>
      <c r="CT27" s="551"/>
      <c r="CU27" s="551"/>
      <c r="CV27" s="551"/>
      <c r="CW27" s="551"/>
      <c r="CX27" s="551"/>
      <c r="CY27" s="551"/>
      <c r="CZ27" s="551"/>
      <c r="DA27" s="551"/>
      <c r="DB27" s="551"/>
      <c r="DC27" s="551"/>
      <c r="DD27" s="551"/>
      <c r="DE27" s="551"/>
      <c r="DF27" s="551"/>
      <c r="DG27" s="551"/>
      <c r="DH27" s="204" t="str">
        <f>Magias!CI24</f>
        <v/>
      </c>
      <c r="DI27" s="39"/>
      <c r="DJ27" s="573" t="str">
        <f>IF(DH27&lt;&gt;"",Magias!CI24+AUR,"")</f>
        <v/>
      </c>
      <c r="DK27" s="573"/>
      <c r="DL27" s="573"/>
      <c r="DM27" s="573"/>
      <c r="DN27" s="573"/>
      <c r="DO27" s="267"/>
      <c r="DW27" s="552"/>
      <c r="DX27" s="552"/>
      <c r="DY27" s="552"/>
    </row>
    <row r="28" spans="1:129" ht="13.05" customHeight="1" x14ac:dyDescent="0.25">
      <c r="A28" s="266"/>
      <c r="B28" s="598" t="s">
        <v>521</v>
      </c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112"/>
      <c r="Y28" s="597" t="str">
        <f>Habilidades!AI9</f>
        <v/>
      </c>
      <c r="Z28" s="597"/>
      <c r="AA28" s="597"/>
      <c r="AB28" s="597"/>
      <c r="AC28" s="597"/>
      <c r="AD28" s="112"/>
      <c r="AE28" s="589" t="s">
        <v>6</v>
      </c>
      <c r="AF28" s="589"/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89"/>
      <c r="AS28" s="589"/>
      <c r="AT28" s="589"/>
      <c r="AU28" s="589"/>
      <c r="AV28" s="589"/>
      <c r="AW28" s="589"/>
      <c r="AX28" s="589"/>
      <c r="AY28" s="589"/>
      <c r="AZ28" s="589"/>
      <c r="BA28" s="112"/>
      <c r="BB28" s="583" t="str">
        <f>Habilidades!AI17</f>
        <v/>
      </c>
      <c r="BC28" s="583"/>
      <c r="BD28" s="583"/>
      <c r="BE28" s="583"/>
      <c r="BF28" s="583"/>
      <c r="BG28" s="112"/>
      <c r="BH28" s="589" t="s">
        <v>477</v>
      </c>
      <c r="BI28" s="589"/>
      <c r="BJ28" s="589"/>
      <c r="BK28" s="589"/>
      <c r="BL28" s="589"/>
      <c r="BM28" s="589"/>
      <c r="BN28" s="589"/>
      <c r="BO28" s="589"/>
      <c r="BP28" s="589"/>
      <c r="BQ28" s="589"/>
      <c r="BR28" s="589"/>
      <c r="BS28" s="589"/>
      <c r="BT28" s="589"/>
      <c r="BU28" s="589"/>
      <c r="BV28" s="589"/>
      <c r="BW28" s="589"/>
      <c r="BX28" s="589"/>
      <c r="BY28" s="589"/>
      <c r="BZ28" s="589"/>
      <c r="CA28" s="589"/>
      <c r="CB28" s="589"/>
      <c r="CC28" s="589"/>
      <c r="CD28" s="113"/>
      <c r="CE28" s="583" t="str">
        <f>Habilidades!CC17</f>
        <v/>
      </c>
      <c r="CF28" s="583"/>
      <c r="CG28" s="583"/>
      <c r="CH28" s="583"/>
      <c r="CI28" s="583"/>
      <c r="CJ28" s="239"/>
      <c r="CK28" s="239"/>
      <c r="CL28" s="267"/>
      <c r="CN28" s="266"/>
      <c r="CO28" s="551" t="str">
        <f>Magias!BC25</f>
        <v/>
      </c>
      <c r="CP28" s="551"/>
      <c r="CQ28" s="551"/>
      <c r="CR28" s="551"/>
      <c r="CS28" s="551"/>
      <c r="CT28" s="551"/>
      <c r="CU28" s="551"/>
      <c r="CV28" s="551"/>
      <c r="CW28" s="551"/>
      <c r="CX28" s="551"/>
      <c r="CY28" s="551"/>
      <c r="CZ28" s="551"/>
      <c r="DA28" s="551"/>
      <c r="DB28" s="551"/>
      <c r="DC28" s="551"/>
      <c r="DD28" s="551"/>
      <c r="DE28" s="551"/>
      <c r="DF28" s="551"/>
      <c r="DG28" s="551"/>
      <c r="DH28" s="204" t="str">
        <f>Magias!CI25</f>
        <v/>
      </c>
      <c r="DI28" s="39"/>
      <c r="DJ28" s="573" t="str">
        <f>IF(DH28&lt;&gt;"",Magias!CI25+AUR,"")</f>
        <v/>
      </c>
      <c r="DK28" s="573"/>
      <c r="DL28" s="573"/>
      <c r="DM28" s="573"/>
      <c r="DN28" s="573"/>
      <c r="DO28" s="267"/>
      <c r="DW28" s="238"/>
      <c r="DX28" s="238"/>
      <c r="DY28" s="238"/>
    </row>
    <row r="29" spans="1:129" ht="13.05" customHeight="1" x14ac:dyDescent="0.25">
      <c r="A29" s="266"/>
      <c r="B29" s="588" t="s">
        <v>3</v>
      </c>
      <c r="C29" s="58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8"/>
      <c r="O29" s="588"/>
      <c r="P29" s="588"/>
      <c r="Q29" s="588"/>
      <c r="R29" s="588"/>
      <c r="S29" s="588"/>
      <c r="T29" s="588"/>
      <c r="U29" s="588"/>
      <c r="V29" s="588"/>
      <c r="W29" s="588"/>
      <c r="X29" s="112"/>
      <c r="Y29" s="591" t="str">
        <f>Habilidades!AI10</f>
        <v/>
      </c>
      <c r="Z29" s="591"/>
      <c r="AA29" s="591"/>
      <c r="AB29" s="591"/>
      <c r="AC29" s="591"/>
      <c r="AD29" s="112"/>
      <c r="AE29" s="585" t="s">
        <v>524</v>
      </c>
      <c r="AF29" s="585"/>
      <c r="AG29" s="585"/>
      <c r="AH29" s="585"/>
      <c r="AI29" s="585"/>
      <c r="AJ29" s="585"/>
      <c r="AK29" s="585"/>
      <c r="AL29" s="585"/>
      <c r="AM29" s="585"/>
      <c r="AN29" s="585"/>
      <c r="AO29" s="585"/>
      <c r="AP29" s="585"/>
      <c r="AQ29" s="585"/>
      <c r="AR29" s="585"/>
      <c r="AS29" s="585"/>
      <c r="AT29" s="585"/>
      <c r="AU29" s="585"/>
      <c r="AV29" s="585"/>
      <c r="AW29" s="585"/>
      <c r="AX29" s="585"/>
      <c r="AY29" s="585"/>
      <c r="AZ29" s="585"/>
      <c r="BA29" s="112"/>
      <c r="BB29" s="584" t="str">
        <f>Habilidades!AI18</f>
        <v/>
      </c>
      <c r="BC29" s="584"/>
      <c r="BD29" s="584"/>
      <c r="BE29" s="584"/>
      <c r="BF29" s="584"/>
      <c r="BG29" s="112"/>
      <c r="BH29" s="585" t="s">
        <v>530</v>
      </c>
      <c r="BI29" s="585"/>
      <c r="BJ29" s="585"/>
      <c r="BK29" s="585"/>
      <c r="BL29" s="585"/>
      <c r="BM29" s="585"/>
      <c r="BN29" s="585"/>
      <c r="BO29" s="585"/>
      <c r="BP29" s="585"/>
      <c r="BQ29" s="585"/>
      <c r="BR29" s="585"/>
      <c r="BS29" s="585"/>
      <c r="BT29" s="585"/>
      <c r="BU29" s="585"/>
      <c r="BV29" s="585"/>
      <c r="BW29" s="585"/>
      <c r="BX29" s="585"/>
      <c r="BY29" s="585"/>
      <c r="BZ29" s="585"/>
      <c r="CA29" s="585"/>
      <c r="CB29" s="585"/>
      <c r="CC29" s="585"/>
      <c r="CD29" s="113"/>
      <c r="CE29" s="584" t="str">
        <f>Habilidades!CC18</f>
        <v/>
      </c>
      <c r="CF29" s="584"/>
      <c r="CG29" s="584"/>
      <c r="CH29" s="584"/>
      <c r="CI29" s="584"/>
      <c r="CJ29" s="239"/>
      <c r="CK29" s="239"/>
      <c r="CL29" s="267"/>
      <c r="CN29" s="266"/>
      <c r="CO29" s="551" t="str">
        <f>Magias!BC26</f>
        <v/>
      </c>
      <c r="CP29" s="551"/>
      <c r="CQ29" s="551"/>
      <c r="CR29" s="551"/>
      <c r="CS29" s="551"/>
      <c r="CT29" s="551"/>
      <c r="CU29" s="551"/>
      <c r="CV29" s="551"/>
      <c r="CW29" s="551"/>
      <c r="CX29" s="551"/>
      <c r="CY29" s="551"/>
      <c r="CZ29" s="551"/>
      <c r="DA29" s="551"/>
      <c r="DB29" s="551"/>
      <c r="DC29" s="551"/>
      <c r="DD29" s="551"/>
      <c r="DE29" s="551"/>
      <c r="DF29" s="551"/>
      <c r="DG29" s="551"/>
      <c r="DH29" s="204" t="str">
        <f>Magias!CI26</f>
        <v/>
      </c>
      <c r="DI29" s="39"/>
      <c r="DJ29" s="573" t="str">
        <f>IF(DH29&lt;&gt;"",Magias!CI26+AUR,"")</f>
        <v/>
      </c>
      <c r="DK29" s="573"/>
      <c r="DL29" s="573"/>
      <c r="DM29" s="573"/>
      <c r="DN29" s="573"/>
      <c r="DO29" s="267"/>
      <c r="DW29" s="238"/>
      <c r="DX29" s="238"/>
      <c r="DY29" s="238"/>
    </row>
    <row r="30" spans="1:129" ht="13.05" customHeight="1" x14ac:dyDescent="0.25">
      <c r="A30" s="266"/>
      <c r="B30" s="588" t="s">
        <v>474</v>
      </c>
      <c r="C30" s="588"/>
      <c r="D30" s="588"/>
      <c r="E30" s="588"/>
      <c r="F30" s="588"/>
      <c r="G30" s="588"/>
      <c r="H30" s="588"/>
      <c r="I30" s="588"/>
      <c r="J30" s="588"/>
      <c r="K30" s="588"/>
      <c r="L30" s="588"/>
      <c r="M30" s="588"/>
      <c r="N30" s="588"/>
      <c r="O30" s="588"/>
      <c r="P30" s="588"/>
      <c r="Q30" s="588"/>
      <c r="R30" s="588"/>
      <c r="S30" s="588"/>
      <c r="T30" s="588"/>
      <c r="U30" s="588"/>
      <c r="V30" s="588"/>
      <c r="W30" s="588"/>
      <c r="X30" s="112"/>
      <c r="Y30" s="591" t="str">
        <f>Habilidades!AI11</f>
        <v/>
      </c>
      <c r="Z30" s="591"/>
      <c r="AA30" s="591"/>
      <c r="AB30" s="591"/>
      <c r="AC30" s="591"/>
      <c r="AD30" s="112"/>
      <c r="AE30" s="585" t="s">
        <v>8</v>
      </c>
      <c r="AF30" s="585"/>
      <c r="AG30" s="585"/>
      <c r="AH30" s="585"/>
      <c r="AI30" s="585"/>
      <c r="AJ30" s="585"/>
      <c r="AK30" s="585"/>
      <c r="AL30" s="585"/>
      <c r="AM30" s="585"/>
      <c r="AN30" s="585"/>
      <c r="AO30" s="585"/>
      <c r="AP30" s="585"/>
      <c r="AQ30" s="585"/>
      <c r="AR30" s="585"/>
      <c r="AS30" s="585"/>
      <c r="AT30" s="585"/>
      <c r="AU30" s="585"/>
      <c r="AV30" s="585"/>
      <c r="AW30" s="585"/>
      <c r="AX30" s="585"/>
      <c r="AY30" s="585"/>
      <c r="AZ30" s="585"/>
      <c r="BA30" s="112"/>
      <c r="BB30" s="584" t="str">
        <f>Habilidades!AI19</f>
        <v/>
      </c>
      <c r="BC30" s="584"/>
      <c r="BD30" s="584"/>
      <c r="BE30" s="584"/>
      <c r="BF30" s="584"/>
      <c r="BG30" s="112"/>
      <c r="BH30" s="585" t="s">
        <v>475</v>
      </c>
      <c r="BI30" s="585"/>
      <c r="BJ30" s="585"/>
      <c r="BK30" s="585"/>
      <c r="BL30" s="585"/>
      <c r="BM30" s="585"/>
      <c r="BN30" s="585"/>
      <c r="BO30" s="585"/>
      <c r="BP30" s="585"/>
      <c r="BQ30" s="585"/>
      <c r="BR30" s="585"/>
      <c r="BS30" s="585"/>
      <c r="BT30" s="585"/>
      <c r="BU30" s="585"/>
      <c r="BV30" s="585"/>
      <c r="BW30" s="585"/>
      <c r="BX30" s="585"/>
      <c r="BY30" s="585"/>
      <c r="BZ30" s="585"/>
      <c r="CA30" s="585"/>
      <c r="CB30" s="585"/>
      <c r="CC30" s="585"/>
      <c r="CD30" s="113"/>
      <c r="CE30" s="584" t="str">
        <f>Habilidades!CC19</f>
        <v/>
      </c>
      <c r="CF30" s="584"/>
      <c r="CG30" s="584"/>
      <c r="CH30" s="584"/>
      <c r="CI30" s="584"/>
      <c r="CJ30" s="239"/>
      <c r="CK30" s="239"/>
      <c r="CL30" s="267"/>
      <c r="CN30" s="266"/>
      <c r="CO30" s="551" t="str">
        <f>Magias!BC27</f>
        <v/>
      </c>
      <c r="CP30" s="551"/>
      <c r="CQ30" s="551"/>
      <c r="CR30" s="551"/>
      <c r="CS30" s="551"/>
      <c r="CT30" s="551"/>
      <c r="CU30" s="551"/>
      <c r="CV30" s="551"/>
      <c r="CW30" s="551"/>
      <c r="CX30" s="551"/>
      <c r="CY30" s="551"/>
      <c r="CZ30" s="551"/>
      <c r="DA30" s="551"/>
      <c r="DB30" s="551"/>
      <c r="DC30" s="551"/>
      <c r="DD30" s="551"/>
      <c r="DE30" s="551"/>
      <c r="DF30" s="551"/>
      <c r="DG30" s="551"/>
      <c r="DH30" s="204" t="str">
        <f>Magias!CI27</f>
        <v/>
      </c>
      <c r="DI30" s="39"/>
      <c r="DJ30" s="573" t="str">
        <f>IF(DH30&lt;&gt;"",Magias!CI27+AUR,"")</f>
        <v/>
      </c>
      <c r="DK30" s="573"/>
      <c r="DL30" s="573"/>
      <c r="DM30" s="573"/>
      <c r="DN30" s="573"/>
      <c r="DO30" s="267"/>
      <c r="DW30" s="238"/>
      <c r="DX30" s="238"/>
      <c r="DY30" s="238"/>
    </row>
    <row r="31" spans="1:129" ht="13.05" customHeight="1" x14ac:dyDescent="0.25">
      <c r="A31" s="266"/>
      <c r="B31" s="588" t="s">
        <v>58</v>
      </c>
      <c r="C31" s="588"/>
      <c r="D31" s="588"/>
      <c r="E31" s="588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8"/>
      <c r="U31" s="588"/>
      <c r="V31" s="588"/>
      <c r="W31" s="588"/>
      <c r="X31" s="112"/>
      <c r="Y31" s="591" t="str">
        <f>Habilidades!AI12</f>
        <v/>
      </c>
      <c r="Z31" s="591"/>
      <c r="AA31" s="591"/>
      <c r="AB31" s="591"/>
      <c r="AC31" s="591"/>
      <c r="AD31" s="112"/>
      <c r="AE31" s="585" t="s">
        <v>26</v>
      </c>
      <c r="AF31" s="585"/>
      <c r="AG31" s="585"/>
      <c r="AH31" s="585"/>
      <c r="AI31" s="585"/>
      <c r="AJ31" s="585"/>
      <c r="AK31" s="585"/>
      <c r="AL31" s="585"/>
      <c r="AM31" s="585"/>
      <c r="AN31" s="585"/>
      <c r="AO31" s="585"/>
      <c r="AP31" s="585"/>
      <c r="AQ31" s="585"/>
      <c r="AR31" s="585"/>
      <c r="AS31" s="585"/>
      <c r="AT31" s="585"/>
      <c r="AU31" s="585"/>
      <c r="AV31" s="585"/>
      <c r="AW31" s="585"/>
      <c r="AX31" s="585"/>
      <c r="AY31" s="585"/>
      <c r="AZ31" s="585"/>
      <c r="BA31" s="112"/>
      <c r="BB31" s="584" t="str">
        <f>Habilidades!AI20</f>
        <v/>
      </c>
      <c r="BC31" s="584"/>
      <c r="BD31" s="584"/>
      <c r="BE31" s="584"/>
      <c r="BF31" s="584"/>
      <c r="BG31" s="112"/>
      <c r="BH31" s="585" t="s">
        <v>59</v>
      </c>
      <c r="BI31" s="585"/>
      <c r="BJ31" s="585"/>
      <c r="BK31" s="585"/>
      <c r="BL31" s="585"/>
      <c r="BM31" s="585"/>
      <c r="BN31" s="585"/>
      <c r="BO31" s="585"/>
      <c r="BP31" s="585"/>
      <c r="BQ31" s="585"/>
      <c r="BR31" s="585"/>
      <c r="BS31" s="585"/>
      <c r="BT31" s="585"/>
      <c r="BU31" s="585"/>
      <c r="BV31" s="585"/>
      <c r="BW31" s="585"/>
      <c r="BX31" s="585"/>
      <c r="BY31" s="585"/>
      <c r="BZ31" s="585"/>
      <c r="CA31" s="585"/>
      <c r="CB31" s="585"/>
      <c r="CC31" s="585"/>
      <c r="CD31" s="113"/>
      <c r="CE31" s="584" t="str">
        <f>Habilidades!CC20</f>
        <v/>
      </c>
      <c r="CF31" s="584"/>
      <c r="CG31" s="584"/>
      <c r="CH31" s="584"/>
      <c r="CI31" s="584"/>
      <c r="CJ31" s="239"/>
      <c r="CK31" s="239"/>
      <c r="CL31" s="267"/>
      <c r="CN31" s="266"/>
      <c r="CO31" s="551" t="str">
        <f>Magias!BC28</f>
        <v/>
      </c>
      <c r="CP31" s="551"/>
      <c r="CQ31" s="551"/>
      <c r="CR31" s="551"/>
      <c r="CS31" s="551"/>
      <c r="CT31" s="551"/>
      <c r="CU31" s="551"/>
      <c r="CV31" s="551"/>
      <c r="CW31" s="551"/>
      <c r="CX31" s="551"/>
      <c r="CY31" s="551"/>
      <c r="CZ31" s="551"/>
      <c r="DA31" s="551"/>
      <c r="DB31" s="551"/>
      <c r="DC31" s="551"/>
      <c r="DD31" s="551"/>
      <c r="DE31" s="551"/>
      <c r="DF31" s="551"/>
      <c r="DG31" s="551"/>
      <c r="DH31" s="204" t="str">
        <f>Magias!CI28</f>
        <v/>
      </c>
      <c r="DI31" s="39"/>
      <c r="DJ31" s="573" t="str">
        <f>IF(DH31&lt;&gt;"",Magias!CI28+AUR,"")</f>
        <v/>
      </c>
      <c r="DK31" s="573"/>
      <c r="DL31" s="573"/>
      <c r="DM31" s="573"/>
      <c r="DN31" s="573"/>
      <c r="DO31" s="267"/>
      <c r="DW31" s="238"/>
      <c r="DX31" s="238"/>
      <c r="DY31" s="238"/>
    </row>
    <row r="32" spans="1:129" ht="13.05" customHeight="1" x14ac:dyDescent="0.25">
      <c r="A32" s="266"/>
      <c r="B32" s="588" t="s">
        <v>476</v>
      </c>
      <c r="C32" s="588"/>
      <c r="D32" s="588"/>
      <c r="E32" s="588"/>
      <c r="F32" s="588"/>
      <c r="G32" s="588"/>
      <c r="H32" s="588"/>
      <c r="I32" s="588"/>
      <c r="J32" s="588"/>
      <c r="K32" s="588"/>
      <c r="L32" s="588"/>
      <c r="M32" s="588"/>
      <c r="N32" s="588"/>
      <c r="O32" s="588"/>
      <c r="P32" s="588"/>
      <c r="Q32" s="588"/>
      <c r="R32" s="588"/>
      <c r="S32" s="588"/>
      <c r="T32" s="588"/>
      <c r="U32" s="588"/>
      <c r="V32" s="588"/>
      <c r="W32" s="588"/>
      <c r="X32" s="112"/>
      <c r="Y32" s="591" t="str">
        <f>Habilidades!AI13</f>
        <v/>
      </c>
      <c r="Z32" s="591"/>
      <c r="AA32" s="591"/>
      <c r="AB32" s="591"/>
      <c r="AC32" s="591"/>
      <c r="AD32" s="112"/>
      <c r="AE32" s="585" t="s">
        <v>20</v>
      </c>
      <c r="AF32" s="585"/>
      <c r="AG32" s="585"/>
      <c r="AH32" s="585"/>
      <c r="AI32" s="585"/>
      <c r="AJ32" s="585"/>
      <c r="AK32" s="585"/>
      <c r="AL32" s="585"/>
      <c r="AM32" s="585"/>
      <c r="AN32" s="585"/>
      <c r="AO32" s="585"/>
      <c r="AP32" s="585"/>
      <c r="AQ32" s="585"/>
      <c r="AR32" s="585"/>
      <c r="AS32" s="585"/>
      <c r="AT32" s="585"/>
      <c r="AU32" s="585"/>
      <c r="AV32" s="585"/>
      <c r="AW32" s="585"/>
      <c r="AX32" s="585"/>
      <c r="AY32" s="585"/>
      <c r="AZ32" s="585"/>
      <c r="BA32" s="112"/>
      <c r="BB32" s="584" t="str">
        <f>Habilidades!AI21</f>
        <v/>
      </c>
      <c r="BC32" s="584"/>
      <c r="BD32" s="584"/>
      <c r="BE32" s="584"/>
      <c r="BF32" s="584"/>
      <c r="BG32" s="112"/>
      <c r="BH32" s="585" t="s">
        <v>60</v>
      </c>
      <c r="BI32" s="585"/>
      <c r="BJ32" s="585"/>
      <c r="BK32" s="585"/>
      <c r="BL32" s="585"/>
      <c r="BM32" s="585"/>
      <c r="BN32" s="585"/>
      <c r="BO32" s="585"/>
      <c r="BP32" s="585"/>
      <c r="BQ32" s="585"/>
      <c r="BR32" s="585"/>
      <c r="BS32" s="585"/>
      <c r="BT32" s="585"/>
      <c r="BU32" s="585"/>
      <c r="BV32" s="585"/>
      <c r="BW32" s="585"/>
      <c r="BX32" s="585"/>
      <c r="BY32" s="585"/>
      <c r="BZ32" s="585"/>
      <c r="CA32" s="585"/>
      <c r="CB32" s="585"/>
      <c r="CC32" s="585"/>
      <c r="CD32" s="113"/>
      <c r="CE32" s="584" t="str">
        <f>Habilidades!CC21</f>
        <v/>
      </c>
      <c r="CF32" s="584"/>
      <c r="CG32" s="584"/>
      <c r="CH32" s="584"/>
      <c r="CI32" s="584"/>
      <c r="CJ32" s="239"/>
      <c r="CK32" s="239"/>
      <c r="CL32" s="267"/>
      <c r="CN32" s="266"/>
      <c r="CO32" s="551" t="str">
        <f>Magias!BC29</f>
        <v/>
      </c>
      <c r="CP32" s="551"/>
      <c r="CQ32" s="551"/>
      <c r="CR32" s="551"/>
      <c r="CS32" s="551"/>
      <c r="CT32" s="551"/>
      <c r="CU32" s="551"/>
      <c r="CV32" s="551"/>
      <c r="CW32" s="551"/>
      <c r="CX32" s="551"/>
      <c r="CY32" s="551"/>
      <c r="CZ32" s="551"/>
      <c r="DA32" s="551"/>
      <c r="DB32" s="551"/>
      <c r="DC32" s="551"/>
      <c r="DD32" s="551"/>
      <c r="DE32" s="551"/>
      <c r="DF32" s="551"/>
      <c r="DG32" s="551"/>
      <c r="DH32" s="204" t="str">
        <f>Magias!CI29</f>
        <v/>
      </c>
      <c r="DI32" s="39"/>
      <c r="DJ32" s="573" t="str">
        <f>IF(DH32&lt;&gt;"",Magias!CI29+AUR,"")</f>
        <v/>
      </c>
      <c r="DK32" s="573"/>
      <c r="DL32" s="573"/>
      <c r="DM32" s="573"/>
      <c r="DN32" s="573"/>
      <c r="DO32" s="267"/>
      <c r="DP32" s="209"/>
      <c r="DQ32" s="209"/>
      <c r="DR32" s="209"/>
      <c r="DS32" s="209"/>
      <c r="DT32" s="209"/>
      <c r="DW32" s="238"/>
      <c r="DX32" s="238"/>
      <c r="DY32" s="238"/>
    </row>
    <row r="33" spans="1:130" ht="13.05" customHeight="1" x14ac:dyDescent="0.25">
      <c r="A33" s="266"/>
      <c r="B33" s="588" t="s">
        <v>2</v>
      </c>
      <c r="C33" s="588"/>
      <c r="D33" s="588"/>
      <c r="E33" s="588"/>
      <c r="F33" s="588"/>
      <c r="G33" s="588"/>
      <c r="H33" s="588"/>
      <c r="I33" s="588"/>
      <c r="J33" s="588"/>
      <c r="K33" s="588"/>
      <c r="L33" s="588"/>
      <c r="M33" s="588"/>
      <c r="N33" s="588"/>
      <c r="O33" s="588"/>
      <c r="P33" s="588"/>
      <c r="Q33" s="588"/>
      <c r="R33" s="588"/>
      <c r="S33" s="588"/>
      <c r="T33" s="588"/>
      <c r="U33" s="588"/>
      <c r="V33" s="588"/>
      <c r="W33" s="588"/>
      <c r="X33" s="112"/>
      <c r="Y33" s="591" t="str">
        <f>Habilidades!AI14</f>
        <v/>
      </c>
      <c r="Z33" s="591"/>
      <c r="AA33" s="591"/>
      <c r="AB33" s="591"/>
      <c r="AC33" s="591"/>
      <c r="AD33" s="112"/>
      <c r="AE33" s="588" t="s">
        <v>7</v>
      </c>
      <c r="AF33" s="588"/>
      <c r="AG33" s="588"/>
      <c r="AH33" s="588"/>
      <c r="AI33" s="588"/>
      <c r="AJ33" s="588"/>
      <c r="AK33" s="588"/>
      <c r="AL33" s="588"/>
      <c r="AM33" s="588"/>
      <c r="AN33" s="588"/>
      <c r="AO33" s="588"/>
      <c r="AP33" s="588"/>
      <c r="AQ33" s="588"/>
      <c r="AR33" s="588"/>
      <c r="AS33" s="588"/>
      <c r="AT33" s="588"/>
      <c r="AU33" s="588"/>
      <c r="AV33" s="588"/>
      <c r="AW33" s="588"/>
      <c r="AX33" s="588"/>
      <c r="AY33" s="588"/>
      <c r="AZ33" s="588"/>
      <c r="BA33" s="112"/>
      <c r="BB33" s="584" t="str">
        <f>Habilidades!AI22</f>
        <v/>
      </c>
      <c r="BC33" s="584"/>
      <c r="BD33" s="584"/>
      <c r="BE33" s="584"/>
      <c r="BF33" s="584"/>
      <c r="BG33" s="112"/>
      <c r="BH33" s="588" t="s">
        <v>532</v>
      </c>
      <c r="BI33" s="588"/>
      <c r="BJ33" s="588"/>
      <c r="BK33" s="588"/>
      <c r="BL33" s="588"/>
      <c r="BM33" s="588"/>
      <c r="BN33" s="588"/>
      <c r="BO33" s="588"/>
      <c r="BP33" s="588"/>
      <c r="BQ33" s="588"/>
      <c r="BR33" s="588"/>
      <c r="BS33" s="588"/>
      <c r="BT33" s="588"/>
      <c r="BU33" s="588"/>
      <c r="BV33" s="588"/>
      <c r="BW33" s="588"/>
      <c r="BX33" s="588"/>
      <c r="BY33" s="588"/>
      <c r="BZ33" s="588"/>
      <c r="CA33" s="588"/>
      <c r="CB33" s="588"/>
      <c r="CC33" s="588"/>
      <c r="CD33" s="113"/>
      <c r="CE33" s="584" t="str">
        <f>Habilidades!CC22</f>
        <v/>
      </c>
      <c r="CF33" s="584"/>
      <c r="CG33" s="584"/>
      <c r="CH33" s="584"/>
      <c r="CI33" s="584"/>
      <c r="CJ33" s="239"/>
      <c r="CK33" s="239"/>
      <c r="CL33" s="267"/>
      <c r="CN33" s="266"/>
      <c r="CO33" s="551" t="str">
        <f>Magias!BC30</f>
        <v/>
      </c>
      <c r="CP33" s="551"/>
      <c r="CQ33" s="551"/>
      <c r="CR33" s="551"/>
      <c r="CS33" s="551"/>
      <c r="CT33" s="551"/>
      <c r="CU33" s="551"/>
      <c r="CV33" s="551"/>
      <c r="CW33" s="551"/>
      <c r="CX33" s="551"/>
      <c r="CY33" s="551"/>
      <c r="CZ33" s="551"/>
      <c r="DA33" s="551"/>
      <c r="DB33" s="551"/>
      <c r="DC33" s="551"/>
      <c r="DD33" s="551"/>
      <c r="DE33" s="551"/>
      <c r="DF33" s="551"/>
      <c r="DG33" s="551"/>
      <c r="DH33" s="204" t="str">
        <f>Magias!CI30</f>
        <v/>
      </c>
      <c r="DI33" s="39"/>
      <c r="DJ33" s="573" t="str">
        <f>IF(DH33&lt;&gt;"",Magias!CI30+AUR,"")</f>
        <v/>
      </c>
      <c r="DK33" s="573"/>
      <c r="DL33" s="573"/>
      <c r="DM33" s="573"/>
      <c r="DN33" s="573"/>
      <c r="DO33" s="267"/>
      <c r="DW33" s="238"/>
      <c r="DX33" s="238"/>
      <c r="DY33" s="238"/>
    </row>
    <row r="34" spans="1:130" s="209" customFormat="1" ht="13.05" customHeight="1" x14ac:dyDescent="0.25">
      <c r="A34" s="266"/>
      <c r="B34" s="588" t="s">
        <v>547</v>
      </c>
      <c r="C34" s="588"/>
      <c r="D34" s="588"/>
      <c r="E34" s="588"/>
      <c r="F34" s="588"/>
      <c r="G34" s="588"/>
      <c r="H34" s="588"/>
      <c r="I34" s="588"/>
      <c r="J34" s="588"/>
      <c r="K34" s="588"/>
      <c r="L34" s="588"/>
      <c r="M34" s="588"/>
      <c r="N34" s="588"/>
      <c r="O34" s="588"/>
      <c r="P34" s="588"/>
      <c r="Q34" s="588"/>
      <c r="R34" s="588"/>
      <c r="S34" s="588"/>
      <c r="T34" s="588"/>
      <c r="U34" s="588"/>
      <c r="V34" s="588"/>
      <c r="W34" s="588"/>
      <c r="X34" s="112"/>
      <c r="Y34" s="591" t="str">
        <f>Habilidades!AI15</f>
        <v/>
      </c>
      <c r="Z34" s="591"/>
      <c r="AA34" s="591"/>
      <c r="AB34" s="591"/>
      <c r="AC34" s="591"/>
      <c r="AD34" s="112"/>
      <c r="AE34" s="588" t="s">
        <v>9</v>
      </c>
      <c r="AF34" s="588"/>
      <c r="AG34" s="588"/>
      <c r="AH34" s="588"/>
      <c r="AI34" s="588"/>
      <c r="AJ34" s="588"/>
      <c r="AK34" s="588"/>
      <c r="AL34" s="588"/>
      <c r="AM34" s="588"/>
      <c r="AN34" s="588"/>
      <c r="AO34" s="588"/>
      <c r="AP34" s="588"/>
      <c r="AQ34" s="588"/>
      <c r="AR34" s="588"/>
      <c r="AS34" s="588"/>
      <c r="AT34" s="588"/>
      <c r="AU34" s="588"/>
      <c r="AV34" s="588"/>
      <c r="AW34" s="588"/>
      <c r="AX34" s="588"/>
      <c r="AY34" s="588"/>
      <c r="AZ34" s="588"/>
      <c r="BA34" s="112"/>
      <c r="BB34" s="584" t="str">
        <f>Habilidades!AI23</f>
        <v/>
      </c>
      <c r="BC34" s="584"/>
      <c r="BD34" s="584"/>
      <c r="BE34" s="584"/>
      <c r="BF34" s="584"/>
      <c r="BG34" s="112"/>
      <c r="BH34" s="588" t="s">
        <v>42</v>
      </c>
      <c r="BI34" s="588"/>
      <c r="BJ34" s="588"/>
      <c r="BK34" s="588"/>
      <c r="BL34" s="588"/>
      <c r="BM34" s="588"/>
      <c r="BN34" s="588"/>
      <c r="BO34" s="588"/>
      <c r="BP34" s="588"/>
      <c r="BQ34" s="588"/>
      <c r="BR34" s="588"/>
      <c r="BS34" s="588"/>
      <c r="BT34" s="588"/>
      <c r="BU34" s="588"/>
      <c r="BV34" s="588"/>
      <c r="BW34" s="588"/>
      <c r="BX34" s="588"/>
      <c r="BY34" s="588"/>
      <c r="BZ34" s="588"/>
      <c r="CA34" s="588"/>
      <c r="CB34" s="588"/>
      <c r="CC34" s="588"/>
      <c r="CD34" s="113"/>
      <c r="CE34" s="584" t="str">
        <f>Habilidades!CC23</f>
        <v/>
      </c>
      <c r="CF34" s="584"/>
      <c r="CG34" s="584"/>
      <c r="CH34" s="584"/>
      <c r="CI34" s="584"/>
      <c r="CJ34" s="239"/>
      <c r="CK34" s="239"/>
      <c r="CL34" s="267"/>
      <c r="CN34" s="266"/>
      <c r="CO34" s="551" t="str">
        <f>Magias!BC31</f>
        <v/>
      </c>
      <c r="CP34" s="551"/>
      <c r="CQ34" s="551"/>
      <c r="CR34" s="551"/>
      <c r="CS34" s="551"/>
      <c r="CT34" s="551"/>
      <c r="CU34" s="551"/>
      <c r="CV34" s="551"/>
      <c r="CW34" s="551"/>
      <c r="CX34" s="551"/>
      <c r="CY34" s="551"/>
      <c r="CZ34" s="551"/>
      <c r="DA34" s="551"/>
      <c r="DB34" s="551"/>
      <c r="DC34" s="551"/>
      <c r="DD34" s="551"/>
      <c r="DE34" s="551"/>
      <c r="DF34" s="551"/>
      <c r="DG34" s="551"/>
      <c r="DH34" s="204" t="str">
        <f>Magias!CI31</f>
        <v/>
      </c>
      <c r="DI34" s="39"/>
      <c r="DJ34" s="573" t="str">
        <f>IF(DH34&lt;&gt;"",Magias!CI31+AUR,"")</f>
        <v/>
      </c>
      <c r="DK34" s="573"/>
      <c r="DL34" s="573"/>
      <c r="DM34" s="573"/>
      <c r="DN34" s="573"/>
      <c r="DO34" s="267"/>
      <c r="DP34" s="36"/>
      <c r="DQ34" s="36"/>
      <c r="DR34" s="36"/>
      <c r="DS34" s="36"/>
      <c r="DT34" s="36"/>
      <c r="DW34" s="238"/>
      <c r="DX34" s="238"/>
      <c r="DY34" s="238"/>
    </row>
    <row r="35" spans="1:130" ht="13.05" customHeight="1" thickBot="1" x14ac:dyDescent="0.3">
      <c r="A35" s="266"/>
      <c r="B35" s="595" t="s">
        <v>13</v>
      </c>
      <c r="C35" s="595"/>
      <c r="D35" s="595"/>
      <c r="E35" s="595"/>
      <c r="F35" s="595"/>
      <c r="G35" s="595"/>
      <c r="H35" s="595"/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595"/>
      <c r="T35" s="595"/>
      <c r="U35" s="595"/>
      <c r="V35" s="595"/>
      <c r="W35" s="595"/>
      <c r="X35" s="112"/>
      <c r="Y35" s="587" t="s">
        <v>17</v>
      </c>
      <c r="Z35" s="587"/>
      <c r="AA35" s="587"/>
      <c r="AB35" s="587"/>
      <c r="AC35" s="587"/>
      <c r="AD35" s="112"/>
      <c r="AE35" s="595" t="s">
        <v>25</v>
      </c>
      <c r="AF35" s="595"/>
      <c r="AG35" s="595"/>
      <c r="AH35" s="595"/>
      <c r="AI35" s="595"/>
      <c r="AJ35" s="595"/>
      <c r="AK35" s="595"/>
      <c r="AL35" s="595"/>
      <c r="AM35" s="595"/>
      <c r="AN35" s="595"/>
      <c r="AO35" s="595"/>
      <c r="AP35" s="595"/>
      <c r="AQ35" s="595"/>
      <c r="AR35" s="595"/>
      <c r="AS35" s="595"/>
      <c r="AT35" s="595"/>
      <c r="AU35" s="595"/>
      <c r="AV35" s="595"/>
      <c r="AW35" s="595"/>
      <c r="AX35" s="595"/>
      <c r="AY35" s="595"/>
      <c r="AZ35" s="595"/>
      <c r="BA35" s="112"/>
      <c r="BB35" s="587" t="s">
        <v>17</v>
      </c>
      <c r="BC35" s="587"/>
      <c r="BD35" s="587"/>
      <c r="BE35" s="587"/>
      <c r="BF35" s="587"/>
      <c r="BG35" s="112"/>
      <c r="BH35" s="602" t="s">
        <v>16</v>
      </c>
      <c r="BI35" s="602"/>
      <c r="BJ35" s="602"/>
      <c r="BK35" s="602"/>
      <c r="BL35" s="602"/>
      <c r="BM35" s="602"/>
      <c r="BN35" s="602"/>
      <c r="BO35" s="602"/>
      <c r="BP35" s="602"/>
      <c r="BQ35" s="602"/>
      <c r="BR35" s="602"/>
      <c r="BS35" s="602"/>
      <c r="BT35" s="602"/>
      <c r="BU35" s="602"/>
      <c r="BV35" s="602"/>
      <c r="BW35" s="602"/>
      <c r="BX35" s="602"/>
      <c r="BY35" s="602"/>
      <c r="BZ35" s="602"/>
      <c r="CA35" s="602"/>
      <c r="CB35" s="602"/>
      <c r="CC35" s="602"/>
      <c r="CD35" s="112"/>
      <c r="CE35" s="587" t="s">
        <v>17</v>
      </c>
      <c r="CF35" s="587"/>
      <c r="CG35" s="587"/>
      <c r="CH35" s="587"/>
      <c r="CI35" s="587"/>
      <c r="CJ35" s="115"/>
      <c r="CK35" s="239"/>
      <c r="CL35" s="267"/>
      <c r="CN35" s="266"/>
      <c r="CO35" s="551" t="str">
        <f>Magias!BC32</f>
        <v/>
      </c>
      <c r="CP35" s="551"/>
      <c r="CQ35" s="551"/>
      <c r="CR35" s="551"/>
      <c r="CS35" s="551"/>
      <c r="CT35" s="551"/>
      <c r="CU35" s="551"/>
      <c r="CV35" s="551"/>
      <c r="CW35" s="551"/>
      <c r="CX35" s="551"/>
      <c r="CY35" s="551"/>
      <c r="CZ35" s="551"/>
      <c r="DA35" s="551"/>
      <c r="DB35" s="551"/>
      <c r="DC35" s="551"/>
      <c r="DD35" s="551"/>
      <c r="DE35" s="551"/>
      <c r="DF35" s="551"/>
      <c r="DG35" s="551"/>
      <c r="DH35" s="204" t="str">
        <f>Magias!CI32</f>
        <v/>
      </c>
      <c r="DI35" s="45"/>
      <c r="DJ35" s="573" t="str">
        <f>IF(DH35&lt;&gt;"",Magias!CI32+AUR,"")</f>
        <v/>
      </c>
      <c r="DK35" s="573"/>
      <c r="DL35" s="573"/>
      <c r="DM35" s="573"/>
      <c r="DN35" s="573"/>
      <c r="DO35" s="267"/>
      <c r="DU35" s="45"/>
      <c r="DV35" s="45"/>
      <c r="DW35" s="238"/>
      <c r="DX35" s="238"/>
      <c r="DY35" s="238"/>
    </row>
    <row r="36" spans="1:130" ht="13.05" customHeight="1" x14ac:dyDescent="0.25">
      <c r="A36" s="266"/>
      <c r="B36" s="598" t="s">
        <v>0</v>
      </c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8"/>
      <c r="X36" s="112"/>
      <c r="Y36" s="597" t="str">
        <f>Habilidades!AI25</f>
        <v/>
      </c>
      <c r="Z36" s="597"/>
      <c r="AA36" s="597"/>
      <c r="AB36" s="597"/>
      <c r="AC36" s="597"/>
      <c r="AD36" s="112"/>
      <c r="AE36" s="589" t="s">
        <v>111</v>
      </c>
      <c r="AF36" s="589"/>
      <c r="AG36" s="589"/>
      <c r="AH36" s="589"/>
      <c r="AI36" s="589"/>
      <c r="AJ36" s="589"/>
      <c r="AK36" s="589"/>
      <c r="AL36" s="589"/>
      <c r="AM36" s="589"/>
      <c r="AN36" s="589"/>
      <c r="AO36" s="589"/>
      <c r="AP36" s="589"/>
      <c r="AQ36" s="589"/>
      <c r="AR36" s="589"/>
      <c r="AS36" s="589"/>
      <c r="AT36" s="589"/>
      <c r="AU36" s="589"/>
      <c r="AV36" s="589"/>
      <c r="AW36" s="589"/>
      <c r="AX36" s="589"/>
      <c r="AY36" s="589"/>
      <c r="AZ36" s="589"/>
      <c r="BA36" s="112"/>
      <c r="BB36" s="583" t="str">
        <f>Habilidades!CC9</f>
        <v/>
      </c>
      <c r="BC36" s="583"/>
      <c r="BD36" s="583"/>
      <c r="BE36" s="583"/>
      <c r="BF36" s="583"/>
      <c r="BG36" s="112"/>
      <c r="BH36" s="589" t="s">
        <v>538</v>
      </c>
      <c r="BI36" s="589"/>
      <c r="BJ36" s="589"/>
      <c r="BK36" s="589"/>
      <c r="BL36" s="589"/>
      <c r="BM36" s="589"/>
      <c r="BN36" s="589"/>
      <c r="BO36" s="589"/>
      <c r="BP36" s="589"/>
      <c r="BQ36" s="589"/>
      <c r="BR36" s="589"/>
      <c r="BS36" s="589"/>
      <c r="BT36" s="589"/>
      <c r="BU36" s="589"/>
      <c r="BV36" s="589"/>
      <c r="BW36" s="589"/>
      <c r="BX36" s="589"/>
      <c r="BY36" s="589"/>
      <c r="BZ36" s="589"/>
      <c r="CA36" s="589"/>
      <c r="CB36" s="589"/>
      <c r="CC36" s="589"/>
      <c r="CD36" s="113"/>
      <c r="CE36" s="583" t="str">
        <f>Habilidades!CC25</f>
        <v/>
      </c>
      <c r="CF36" s="583"/>
      <c r="CG36" s="583"/>
      <c r="CH36" s="583"/>
      <c r="CI36" s="583"/>
      <c r="CJ36" s="239"/>
      <c r="CK36" s="239"/>
      <c r="CL36" s="267"/>
      <c r="CN36" s="266"/>
      <c r="CO36" s="551" t="str">
        <f>Magias!BC33</f>
        <v/>
      </c>
      <c r="CP36" s="551"/>
      <c r="CQ36" s="551"/>
      <c r="CR36" s="551"/>
      <c r="CS36" s="551"/>
      <c r="CT36" s="551"/>
      <c r="CU36" s="551"/>
      <c r="CV36" s="551"/>
      <c r="CW36" s="551"/>
      <c r="CX36" s="551"/>
      <c r="CY36" s="551"/>
      <c r="CZ36" s="551"/>
      <c r="DA36" s="551"/>
      <c r="DB36" s="551"/>
      <c r="DC36" s="551"/>
      <c r="DD36" s="551"/>
      <c r="DE36" s="551"/>
      <c r="DF36" s="551"/>
      <c r="DG36" s="551"/>
      <c r="DH36" s="204" t="str">
        <f>Magias!CI33</f>
        <v/>
      </c>
      <c r="DI36" s="39"/>
      <c r="DJ36" s="573" t="str">
        <f>IF(DH36&lt;&gt;"",Magias!CI33+AUR,"")</f>
        <v/>
      </c>
      <c r="DK36" s="573"/>
      <c r="DL36" s="573"/>
      <c r="DM36" s="573"/>
      <c r="DN36" s="573"/>
      <c r="DO36" s="267"/>
      <c r="DV36" s="38"/>
      <c r="DW36" s="238"/>
      <c r="DX36" s="238"/>
      <c r="DY36" s="238"/>
    </row>
    <row r="37" spans="1:130" ht="13.05" customHeight="1" x14ac:dyDescent="0.25">
      <c r="A37" s="266"/>
      <c r="B37" s="588" t="s">
        <v>534</v>
      </c>
      <c r="C37" s="588"/>
      <c r="D37" s="588"/>
      <c r="E37" s="588"/>
      <c r="F37" s="588"/>
      <c r="G37" s="588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8"/>
      <c r="S37" s="588"/>
      <c r="T37" s="588"/>
      <c r="U37" s="588"/>
      <c r="V37" s="588"/>
      <c r="W37" s="588"/>
      <c r="X37" s="114"/>
      <c r="Y37" s="591" t="str">
        <f>Habilidades!AI26</f>
        <v/>
      </c>
      <c r="Z37" s="591"/>
      <c r="AA37" s="591"/>
      <c r="AB37" s="591"/>
      <c r="AC37" s="591"/>
      <c r="AD37" s="112"/>
      <c r="AE37" s="585" t="s">
        <v>259</v>
      </c>
      <c r="AF37" s="585"/>
      <c r="AG37" s="585"/>
      <c r="AH37" s="585"/>
      <c r="AI37" s="585"/>
      <c r="AJ37" s="585"/>
      <c r="AK37" s="585"/>
      <c r="AL37" s="585"/>
      <c r="AM37" s="585"/>
      <c r="AN37" s="585"/>
      <c r="AO37" s="585"/>
      <c r="AP37" s="585"/>
      <c r="AQ37" s="585"/>
      <c r="AR37" s="585"/>
      <c r="AS37" s="585"/>
      <c r="AT37" s="585"/>
      <c r="AU37" s="585"/>
      <c r="AV37" s="585"/>
      <c r="AW37" s="585"/>
      <c r="AX37" s="585"/>
      <c r="AY37" s="585"/>
      <c r="AZ37" s="585"/>
      <c r="BA37" s="112"/>
      <c r="BB37" s="584" t="str">
        <f>Habilidades!CC10</f>
        <v/>
      </c>
      <c r="BC37" s="584"/>
      <c r="BD37" s="584"/>
      <c r="BE37" s="584"/>
      <c r="BF37" s="584"/>
      <c r="BG37" s="112"/>
      <c r="BH37" s="585" t="s">
        <v>62</v>
      </c>
      <c r="BI37" s="585"/>
      <c r="BJ37" s="585"/>
      <c r="BK37" s="585"/>
      <c r="BL37" s="585"/>
      <c r="BM37" s="585"/>
      <c r="BN37" s="585"/>
      <c r="BO37" s="585"/>
      <c r="BP37" s="585"/>
      <c r="BQ37" s="585"/>
      <c r="BR37" s="585"/>
      <c r="BS37" s="585"/>
      <c r="BT37" s="585"/>
      <c r="BU37" s="585"/>
      <c r="BV37" s="585"/>
      <c r="BW37" s="585"/>
      <c r="BX37" s="585"/>
      <c r="BY37" s="585"/>
      <c r="BZ37" s="585"/>
      <c r="CA37" s="585"/>
      <c r="CB37" s="585"/>
      <c r="CC37" s="585"/>
      <c r="CD37" s="113"/>
      <c r="CE37" s="584" t="str">
        <f>Habilidades!CC26</f>
        <v/>
      </c>
      <c r="CF37" s="584"/>
      <c r="CG37" s="584"/>
      <c r="CH37" s="584"/>
      <c r="CI37" s="584"/>
      <c r="CJ37" s="239"/>
      <c r="CK37" s="239"/>
      <c r="CL37" s="267"/>
      <c r="CN37" s="266"/>
      <c r="CO37" s="551" t="str">
        <f>Magias!BC34</f>
        <v/>
      </c>
      <c r="CP37" s="551"/>
      <c r="CQ37" s="551"/>
      <c r="CR37" s="551"/>
      <c r="CS37" s="551"/>
      <c r="CT37" s="551"/>
      <c r="CU37" s="551"/>
      <c r="CV37" s="551"/>
      <c r="CW37" s="551"/>
      <c r="CX37" s="551"/>
      <c r="CY37" s="551"/>
      <c r="CZ37" s="551"/>
      <c r="DA37" s="551"/>
      <c r="DB37" s="551"/>
      <c r="DC37" s="551"/>
      <c r="DD37" s="551"/>
      <c r="DE37" s="551"/>
      <c r="DF37" s="551"/>
      <c r="DG37" s="551"/>
      <c r="DH37" s="204" t="str">
        <f>Magias!CI34</f>
        <v/>
      </c>
      <c r="DI37" s="39"/>
      <c r="DJ37" s="573" t="str">
        <f>IF(DH37&lt;&gt;"",Magias!CI34+AUR,"")</f>
        <v/>
      </c>
      <c r="DK37" s="573"/>
      <c r="DL37" s="573"/>
      <c r="DM37" s="573"/>
      <c r="DN37" s="573"/>
      <c r="DO37" s="267"/>
      <c r="DV37" s="38"/>
      <c r="DW37" s="238"/>
      <c r="DX37" s="238"/>
      <c r="DY37" s="238"/>
    </row>
    <row r="38" spans="1:130" ht="13.05" customHeight="1" x14ac:dyDescent="0.25">
      <c r="A38" s="266"/>
      <c r="B38" s="588" t="s">
        <v>544</v>
      </c>
      <c r="C38" s="588"/>
      <c r="D38" s="588"/>
      <c r="E38" s="588"/>
      <c r="F38" s="588"/>
      <c r="G38" s="588"/>
      <c r="H38" s="588"/>
      <c r="I38" s="588"/>
      <c r="J38" s="588"/>
      <c r="K38" s="588"/>
      <c r="L38" s="588"/>
      <c r="M38" s="588"/>
      <c r="N38" s="588"/>
      <c r="O38" s="588"/>
      <c r="P38" s="588"/>
      <c r="Q38" s="588"/>
      <c r="R38" s="588"/>
      <c r="S38" s="588"/>
      <c r="T38" s="588"/>
      <c r="U38" s="588"/>
      <c r="V38" s="588"/>
      <c r="W38" s="588"/>
      <c r="X38" s="112"/>
      <c r="Y38" s="591" t="str">
        <f>Habilidades!AI27</f>
        <v/>
      </c>
      <c r="Z38" s="591"/>
      <c r="AA38" s="591"/>
      <c r="AB38" s="591"/>
      <c r="AC38" s="591"/>
      <c r="AD38" s="112"/>
      <c r="AE38" s="585" t="s">
        <v>57</v>
      </c>
      <c r="AF38" s="585"/>
      <c r="AG38" s="585"/>
      <c r="AH38" s="585"/>
      <c r="AI38" s="585"/>
      <c r="AJ38" s="585"/>
      <c r="AK38" s="585"/>
      <c r="AL38" s="585"/>
      <c r="AM38" s="585"/>
      <c r="AN38" s="585"/>
      <c r="AO38" s="585"/>
      <c r="AP38" s="585"/>
      <c r="AQ38" s="585"/>
      <c r="AR38" s="585"/>
      <c r="AS38" s="585"/>
      <c r="AT38" s="585"/>
      <c r="AU38" s="585"/>
      <c r="AV38" s="585"/>
      <c r="AW38" s="585"/>
      <c r="AX38" s="585"/>
      <c r="AY38" s="585"/>
      <c r="AZ38" s="585"/>
      <c r="BA38" s="112"/>
      <c r="BB38" s="584" t="str">
        <f>Habilidades!CC11</f>
        <v/>
      </c>
      <c r="BC38" s="584"/>
      <c r="BD38" s="584"/>
      <c r="BE38" s="584"/>
      <c r="BF38" s="584"/>
      <c r="BG38" s="112"/>
      <c r="BH38" s="585" t="s">
        <v>546</v>
      </c>
      <c r="BI38" s="585"/>
      <c r="BJ38" s="585"/>
      <c r="BK38" s="585"/>
      <c r="BL38" s="585"/>
      <c r="BM38" s="585"/>
      <c r="BN38" s="585"/>
      <c r="BO38" s="585"/>
      <c r="BP38" s="585"/>
      <c r="BQ38" s="585"/>
      <c r="BR38" s="585"/>
      <c r="BS38" s="585"/>
      <c r="BT38" s="585"/>
      <c r="BU38" s="585"/>
      <c r="BV38" s="585"/>
      <c r="BW38" s="585"/>
      <c r="BX38" s="585"/>
      <c r="BY38" s="585"/>
      <c r="BZ38" s="585"/>
      <c r="CA38" s="585"/>
      <c r="CB38" s="585"/>
      <c r="CC38" s="585"/>
      <c r="CD38" s="113"/>
      <c r="CE38" s="584" t="str">
        <f>Habilidades!CC27</f>
        <v/>
      </c>
      <c r="CF38" s="584"/>
      <c r="CG38" s="584"/>
      <c r="CH38" s="584"/>
      <c r="CI38" s="584"/>
      <c r="CJ38" s="239"/>
      <c r="CK38" s="239"/>
      <c r="CL38" s="267"/>
      <c r="CN38" s="266"/>
      <c r="CO38" s="551" t="str">
        <f>Magias!BC35</f>
        <v/>
      </c>
      <c r="CP38" s="551"/>
      <c r="CQ38" s="551"/>
      <c r="CR38" s="551"/>
      <c r="CS38" s="551"/>
      <c r="CT38" s="551"/>
      <c r="CU38" s="551"/>
      <c r="CV38" s="551"/>
      <c r="CW38" s="551"/>
      <c r="CX38" s="551"/>
      <c r="CY38" s="551"/>
      <c r="CZ38" s="551"/>
      <c r="DA38" s="551"/>
      <c r="DB38" s="551"/>
      <c r="DC38" s="551"/>
      <c r="DD38" s="551"/>
      <c r="DE38" s="551"/>
      <c r="DF38" s="551"/>
      <c r="DG38" s="551"/>
      <c r="DH38" s="204" t="str">
        <f>Magias!CI35</f>
        <v/>
      </c>
      <c r="DI38" s="39"/>
      <c r="DJ38" s="573" t="str">
        <f>IF(DH38&lt;&gt;"",Magias!CI35+AUR,"")</f>
        <v/>
      </c>
      <c r="DK38" s="573"/>
      <c r="DL38" s="573"/>
      <c r="DM38" s="573"/>
      <c r="DN38" s="573"/>
      <c r="DO38" s="267"/>
      <c r="DW38" s="238"/>
      <c r="DX38" s="238"/>
      <c r="DY38" s="238"/>
    </row>
    <row r="39" spans="1:130" ht="13.05" customHeight="1" x14ac:dyDescent="0.25">
      <c r="A39" s="266"/>
      <c r="B39" s="588" t="s">
        <v>536</v>
      </c>
      <c r="C39" s="588"/>
      <c r="D39" s="588"/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  <c r="U39" s="588"/>
      <c r="V39" s="588"/>
      <c r="W39" s="588"/>
      <c r="X39" s="112"/>
      <c r="Y39" s="591" t="str">
        <f>Habilidades!AI28</f>
        <v/>
      </c>
      <c r="Z39" s="591"/>
      <c r="AA39" s="591"/>
      <c r="AB39" s="591"/>
      <c r="AC39" s="591"/>
      <c r="AD39" s="112"/>
      <c r="AE39" s="585" t="s">
        <v>545</v>
      </c>
      <c r="AF39" s="585"/>
      <c r="AG39" s="585"/>
      <c r="AH39" s="585"/>
      <c r="AI39" s="585"/>
      <c r="AJ39" s="585"/>
      <c r="AK39" s="585"/>
      <c r="AL39" s="585"/>
      <c r="AM39" s="585"/>
      <c r="AN39" s="585"/>
      <c r="AO39" s="585"/>
      <c r="AP39" s="585"/>
      <c r="AQ39" s="585"/>
      <c r="AR39" s="585"/>
      <c r="AS39" s="585"/>
      <c r="AT39" s="585"/>
      <c r="AU39" s="585"/>
      <c r="AV39" s="585"/>
      <c r="AW39" s="585"/>
      <c r="AX39" s="585"/>
      <c r="AY39" s="585"/>
      <c r="AZ39" s="585"/>
      <c r="BA39" s="112"/>
      <c r="BB39" s="584" t="str">
        <f>Habilidades!CC12</f>
        <v/>
      </c>
      <c r="BC39" s="584"/>
      <c r="BD39" s="584"/>
      <c r="BE39" s="584"/>
      <c r="BF39" s="584"/>
      <c r="BG39" s="112"/>
      <c r="BH39" s="585" t="s">
        <v>10</v>
      </c>
      <c r="BI39" s="585"/>
      <c r="BJ39" s="585"/>
      <c r="BK39" s="585"/>
      <c r="BL39" s="585"/>
      <c r="BM39" s="585"/>
      <c r="BN39" s="585"/>
      <c r="BO39" s="585"/>
      <c r="BP39" s="585"/>
      <c r="BQ39" s="585"/>
      <c r="BR39" s="585"/>
      <c r="BS39" s="585"/>
      <c r="BT39" s="585"/>
      <c r="BU39" s="585"/>
      <c r="BV39" s="585"/>
      <c r="BW39" s="585"/>
      <c r="BX39" s="585"/>
      <c r="BY39" s="585"/>
      <c r="BZ39" s="585"/>
      <c r="CA39" s="585"/>
      <c r="CB39" s="585"/>
      <c r="CC39" s="585"/>
      <c r="CD39" s="113"/>
      <c r="CE39" s="584" t="str">
        <f>Habilidades!CC28</f>
        <v/>
      </c>
      <c r="CF39" s="584"/>
      <c r="CG39" s="584"/>
      <c r="CH39" s="584"/>
      <c r="CI39" s="584"/>
      <c r="CJ39" s="239"/>
      <c r="CK39" s="239"/>
      <c r="CL39" s="267"/>
      <c r="CN39" s="266"/>
      <c r="CO39" s="551" t="str">
        <f>Magias!BC36</f>
        <v/>
      </c>
      <c r="CP39" s="551"/>
      <c r="CQ39" s="551"/>
      <c r="CR39" s="551"/>
      <c r="CS39" s="551"/>
      <c r="CT39" s="551"/>
      <c r="CU39" s="551"/>
      <c r="CV39" s="551"/>
      <c r="CW39" s="551"/>
      <c r="CX39" s="551"/>
      <c r="CY39" s="551"/>
      <c r="CZ39" s="551"/>
      <c r="DA39" s="551"/>
      <c r="DB39" s="551"/>
      <c r="DC39" s="551"/>
      <c r="DD39" s="551"/>
      <c r="DE39" s="551"/>
      <c r="DF39" s="551"/>
      <c r="DG39" s="551"/>
      <c r="DH39" s="204" t="str">
        <f>Magias!CI36</f>
        <v/>
      </c>
      <c r="DI39" s="39"/>
      <c r="DJ39" s="573" t="str">
        <f>IF(DH39&lt;&gt;"",Magias!CI36+AUR,"")</f>
        <v/>
      </c>
      <c r="DK39" s="573"/>
      <c r="DL39" s="573"/>
      <c r="DM39" s="573"/>
      <c r="DN39" s="573"/>
      <c r="DO39" s="267"/>
      <c r="DV39" s="38"/>
      <c r="DW39" s="238"/>
      <c r="DX39" s="238"/>
      <c r="DY39" s="238"/>
    </row>
    <row r="40" spans="1:130" ht="13.05" customHeight="1" thickBot="1" x14ac:dyDescent="0.3">
      <c r="A40" s="266"/>
      <c r="B40" s="588" t="s">
        <v>56</v>
      </c>
      <c r="C40" s="588"/>
      <c r="D40" s="588"/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8"/>
      <c r="P40" s="588"/>
      <c r="Q40" s="588"/>
      <c r="R40" s="588"/>
      <c r="S40" s="588"/>
      <c r="T40" s="588"/>
      <c r="U40" s="588"/>
      <c r="V40" s="588"/>
      <c r="W40" s="588"/>
      <c r="X40" s="112"/>
      <c r="Y40" s="591" t="str">
        <f>Habilidades!AI29</f>
        <v/>
      </c>
      <c r="Z40" s="591"/>
      <c r="AA40" s="591"/>
      <c r="AB40" s="591"/>
      <c r="AC40" s="591"/>
      <c r="AD40" s="112"/>
      <c r="AE40" s="585" t="s">
        <v>12</v>
      </c>
      <c r="AF40" s="585"/>
      <c r="AG40" s="585"/>
      <c r="AH40" s="585"/>
      <c r="AI40" s="585"/>
      <c r="AJ40" s="585"/>
      <c r="AK40" s="585"/>
      <c r="AL40" s="585"/>
      <c r="AM40" s="585"/>
      <c r="AN40" s="585"/>
      <c r="AO40" s="585"/>
      <c r="AP40" s="585"/>
      <c r="AQ40" s="585"/>
      <c r="AR40" s="585"/>
      <c r="AS40" s="585"/>
      <c r="AT40" s="585"/>
      <c r="AU40" s="585"/>
      <c r="AV40" s="585"/>
      <c r="AW40" s="585"/>
      <c r="AX40" s="585"/>
      <c r="AY40" s="585"/>
      <c r="AZ40" s="585"/>
      <c r="BA40" s="112"/>
      <c r="BB40" s="584" t="str">
        <f>Habilidades!CC13</f>
        <v/>
      </c>
      <c r="BC40" s="584"/>
      <c r="BD40" s="584"/>
      <c r="BE40" s="584"/>
      <c r="BF40" s="584"/>
      <c r="BG40" s="112"/>
      <c r="BH40" s="585" t="s">
        <v>11</v>
      </c>
      <c r="BI40" s="585"/>
      <c r="BJ40" s="585"/>
      <c r="BK40" s="585"/>
      <c r="BL40" s="585"/>
      <c r="BM40" s="585"/>
      <c r="BN40" s="585"/>
      <c r="BO40" s="585"/>
      <c r="BP40" s="585"/>
      <c r="BQ40" s="585"/>
      <c r="BR40" s="585"/>
      <c r="BS40" s="585"/>
      <c r="BT40" s="585"/>
      <c r="BU40" s="585"/>
      <c r="BV40" s="585"/>
      <c r="BW40" s="585"/>
      <c r="BX40" s="585"/>
      <c r="BY40" s="585"/>
      <c r="BZ40" s="585"/>
      <c r="CA40" s="585"/>
      <c r="CB40" s="585"/>
      <c r="CC40" s="585"/>
      <c r="CD40" s="113"/>
      <c r="CE40" s="584" t="str">
        <f>Habilidades!CC29</f>
        <v/>
      </c>
      <c r="CF40" s="584"/>
      <c r="CG40" s="584"/>
      <c r="CH40" s="584"/>
      <c r="CI40" s="584"/>
      <c r="CJ40" s="239"/>
      <c r="CK40" s="239"/>
      <c r="CL40" s="267"/>
      <c r="CN40" s="266"/>
      <c r="CO40" s="550"/>
      <c r="CP40" s="550"/>
      <c r="CQ40" s="550"/>
      <c r="CR40" s="550"/>
      <c r="CS40" s="550"/>
      <c r="CT40" s="550"/>
      <c r="CU40" s="550"/>
      <c r="CV40" s="550"/>
      <c r="CW40" s="550"/>
      <c r="CX40" s="550"/>
      <c r="CY40" s="550"/>
      <c r="CZ40" s="550"/>
      <c r="DA40" s="550"/>
      <c r="DB40" s="550"/>
      <c r="DC40" s="550"/>
      <c r="DD40" s="550"/>
      <c r="DE40" s="550"/>
      <c r="DF40" s="325"/>
      <c r="DG40" s="325"/>
      <c r="DH40" s="259"/>
      <c r="DI40" s="39"/>
      <c r="DJ40" s="607"/>
      <c r="DK40" s="607"/>
      <c r="DL40" s="607"/>
      <c r="DM40" s="607"/>
      <c r="DN40" s="607"/>
      <c r="DO40" s="267"/>
      <c r="DV40" s="38"/>
      <c r="DW40" s="238"/>
      <c r="DX40" s="238"/>
      <c r="DY40" s="238"/>
    </row>
    <row r="41" spans="1:130" ht="13.05" customHeight="1" x14ac:dyDescent="0.25">
      <c r="A41" s="266"/>
      <c r="B41" s="588" t="s">
        <v>1</v>
      </c>
      <c r="C41" s="588"/>
      <c r="D41" s="588"/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588"/>
      <c r="P41" s="588"/>
      <c r="Q41" s="588"/>
      <c r="R41" s="588"/>
      <c r="S41" s="588"/>
      <c r="T41" s="588"/>
      <c r="U41" s="588"/>
      <c r="V41" s="588"/>
      <c r="W41" s="588"/>
      <c r="X41" s="112"/>
      <c r="Y41" s="591" t="str">
        <f>Habilidades!AI30</f>
        <v/>
      </c>
      <c r="Z41" s="591"/>
      <c r="AA41" s="591"/>
      <c r="AB41" s="591"/>
      <c r="AC41" s="591"/>
      <c r="AD41" s="112"/>
      <c r="AE41" s="585" t="s">
        <v>522</v>
      </c>
      <c r="AF41" s="585"/>
      <c r="AG41" s="585"/>
      <c r="AH41" s="585"/>
      <c r="AI41" s="585"/>
      <c r="AJ41" s="585"/>
      <c r="AK41" s="585"/>
      <c r="AL41" s="585"/>
      <c r="AM41" s="585"/>
      <c r="AN41" s="585"/>
      <c r="AO41" s="585"/>
      <c r="AP41" s="585"/>
      <c r="AQ41" s="585"/>
      <c r="AR41" s="585"/>
      <c r="AS41" s="585"/>
      <c r="AT41" s="585"/>
      <c r="AU41" s="585"/>
      <c r="AV41" s="585"/>
      <c r="AW41" s="585"/>
      <c r="AX41" s="585"/>
      <c r="AY41" s="585"/>
      <c r="AZ41" s="585"/>
      <c r="BA41" s="112"/>
      <c r="BB41" s="584" t="str">
        <f>Habilidades!CC14</f>
        <v/>
      </c>
      <c r="BC41" s="584"/>
      <c r="BD41" s="584"/>
      <c r="BE41" s="584"/>
      <c r="BF41" s="584"/>
      <c r="BG41" s="112"/>
      <c r="BH41" s="585" t="s">
        <v>541</v>
      </c>
      <c r="BI41" s="585"/>
      <c r="BJ41" s="585"/>
      <c r="BK41" s="585"/>
      <c r="BL41" s="585"/>
      <c r="BM41" s="585"/>
      <c r="BN41" s="585"/>
      <c r="BO41" s="585"/>
      <c r="BP41" s="585"/>
      <c r="BQ41" s="585"/>
      <c r="BR41" s="585"/>
      <c r="BS41" s="585"/>
      <c r="BT41" s="585"/>
      <c r="BU41" s="585"/>
      <c r="BV41" s="585"/>
      <c r="BW41" s="585"/>
      <c r="BX41" s="585"/>
      <c r="BY41" s="585"/>
      <c r="BZ41" s="585"/>
      <c r="CA41" s="585"/>
      <c r="CB41" s="585"/>
      <c r="CC41" s="585"/>
      <c r="CD41" s="113"/>
      <c r="CE41" s="584" t="str">
        <f>Habilidades!CC30</f>
        <v/>
      </c>
      <c r="CF41" s="584"/>
      <c r="CG41" s="584"/>
      <c r="CH41" s="584"/>
      <c r="CI41" s="584"/>
      <c r="CJ41" s="239"/>
      <c r="CK41" s="239"/>
      <c r="CL41" s="267"/>
      <c r="CN41" s="268"/>
      <c r="CO41" s="628" t="s">
        <v>28</v>
      </c>
      <c r="CP41" s="629"/>
      <c r="CQ41" s="629"/>
      <c r="CR41" s="629"/>
      <c r="CS41" s="629"/>
      <c r="CT41" s="629"/>
      <c r="CU41" s="629"/>
      <c r="CV41" s="629"/>
      <c r="CW41" s="629"/>
      <c r="CX41" s="629"/>
      <c r="CY41" s="629"/>
      <c r="CZ41" s="629"/>
      <c r="DA41" s="629"/>
      <c r="DB41" s="629"/>
      <c r="DC41" s="629"/>
      <c r="DD41" s="629"/>
      <c r="DE41" s="629"/>
      <c r="DF41" s="629"/>
      <c r="DG41" s="629"/>
      <c r="DH41" s="630"/>
      <c r="DI41" s="39"/>
      <c r="DJ41" s="637">
        <f>IF(OR(Profissao="Guerreiro",Profissao="Ladino"),"X",IF(AUR&gt;0,(AUR+1)*(Estagio+1),0))</f>
        <v>0</v>
      </c>
      <c r="DK41" s="638"/>
      <c r="DL41" s="638"/>
      <c r="DM41" s="638"/>
      <c r="DN41" s="639"/>
      <c r="DO41" s="269"/>
      <c r="DW41" s="238"/>
      <c r="DX41" s="238"/>
      <c r="DY41" s="238"/>
    </row>
    <row r="42" spans="1:130" ht="13.05" customHeight="1" thickBot="1" x14ac:dyDescent="0.3">
      <c r="A42" s="266"/>
      <c r="B42" s="588" t="s">
        <v>21</v>
      </c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88"/>
      <c r="X42" s="112"/>
      <c r="Y42" s="591" t="str">
        <f>Habilidades!AI31</f>
        <v/>
      </c>
      <c r="Z42" s="591"/>
      <c r="AA42" s="591"/>
      <c r="AB42" s="591"/>
      <c r="AC42" s="591"/>
      <c r="AD42" s="112"/>
      <c r="AE42" s="585" t="s">
        <v>4</v>
      </c>
      <c r="AF42" s="585"/>
      <c r="AG42" s="585"/>
      <c r="AH42" s="585"/>
      <c r="AI42" s="585"/>
      <c r="AJ42" s="585"/>
      <c r="AK42" s="585"/>
      <c r="AL42" s="585"/>
      <c r="AM42" s="585"/>
      <c r="AN42" s="585"/>
      <c r="AO42" s="585"/>
      <c r="AP42" s="585"/>
      <c r="AQ42" s="585"/>
      <c r="AR42" s="585"/>
      <c r="AS42" s="585"/>
      <c r="AT42" s="585"/>
      <c r="AU42" s="585"/>
      <c r="AV42" s="585"/>
      <c r="AW42" s="585"/>
      <c r="AX42" s="585"/>
      <c r="AY42" s="585"/>
      <c r="AZ42" s="585"/>
      <c r="BA42" s="112"/>
      <c r="BB42" s="584" t="str">
        <f>Habilidades!CC15</f>
        <v/>
      </c>
      <c r="BC42" s="584"/>
      <c r="BD42" s="584"/>
      <c r="BE42" s="584"/>
      <c r="BF42" s="584"/>
      <c r="BG42" s="112"/>
      <c r="BH42" s="585" t="s">
        <v>63</v>
      </c>
      <c r="BI42" s="585"/>
      <c r="BJ42" s="585"/>
      <c r="BK42" s="585"/>
      <c r="BL42" s="585"/>
      <c r="BM42" s="585"/>
      <c r="BN42" s="585"/>
      <c r="BO42" s="585"/>
      <c r="BP42" s="585"/>
      <c r="BQ42" s="585"/>
      <c r="BR42" s="585"/>
      <c r="BS42" s="585"/>
      <c r="BT42" s="585"/>
      <c r="BU42" s="585"/>
      <c r="BV42" s="585"/>
      <c r="BW42" s="585"/>
      <c r="BX42" s="585"/>
      <c r="BY42" s="585"/>
      <c r="BZ42" s="585"/>
      <c r="CA42" s="585"/>
      <c r="CB42" s="585"/>
      <c r="CC42" s="585"/>
      <c r="CD42" s="113"/>
      <c r="CE42" s="584" t="str">
        <f>Habilidades!CC31</f>
        <v/>
      </c>
      <c r="CF42" s="584"/>
      <c r="CG42" s="584"/>
      <c r="CH42" s="584"/>
      <c r="CI42" s="584"/>
      <c r="CJ42" s="239"/>
      <c r="CK42" s="239"/>
      <c r="CL42" s="267"/>
      <c r="CN42" s="266"/>
      <c r="CO42" s="631"/>
      <c r="CP42" s="632"/>
      <c r="CQ42" s="632"/>
      <c r="CR42" s="632"/>
      <c r="CS42" s="632"/>
      <c r="CT42" s="632"/>
      <c r="CU42" s="632"/>
      <c r="CV42" s="632"/>
      <c r="CW42" s="632"/>
      <c r="CX42" s="632"/>
      <c r="CY42" s="632"/>
      <c r="CZ42" s="632"/>
      <c r="DA42" s="632"/>
      <c r="DB42" s="632"/>
      <c r="DC42" s="632"/>
      <c r="DD42" s="632"/>
      <c r="DE42" s="632"/>
      <c r="DF42" s="632"/>
      <c r="DG42" s="632"/>
      <c r="DH42" s="633"/>
      <c r="DI42" s="39"/>
      <c r="DJ42" s="640"/>
      <c r="DK42" s="641"/>
      <c r="DL42" s="641"/>
      <c r="DM42" s="641"/>
      <c r="DN42" s="642"/>
      <c r="DO42" s="242"/>
      <c r="DV42" s="38"/>
      <c r="DW42" s="238"/>
      <c r="DX42" s="238"/>
      <c r="DY42" s="238"/>
    </row>
    <row r="43" spans="1:130" ht="13.05" customHeight="1" thickBot="1" x14ac:dyDescent="0.25">
      <c r="A43" s="272"/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6"/>
      <c r="AG43" s="586"/>
      <c r="AH43" s="586"/>
      <c r="AI43" s="586"/>
      <c r="AJ43" s="586"/>
      <c r="AK43" s="586"/>
      <c r="AL43" s="586"/>
      <c r="AM43" s="586"/>
      <c r="AN43" s="586"/>
      <c r="AO43" s="586"/>
      <c r="AP43" s="586"/>
      <c r="AQ43" s="586"/>
      <c r="AR43" s="586"/>
      <c r="AS43" s="586"/>
      <c r="AT43" s="586"/>
      <c r="AU43" s="586"/>
      <c r="AV43" s="586"/>
      <c r="AW43" s="586"/>
      <c r="AX43" s="586"/>
      <c r="AY43" s="586"/>
      <c r="AZ43" s="586"/>
      <c r="BA43" s="586"/>
      <c r="BB43" s="586"/>
      <c r="BC43" s="586"/>
      <c r="BD43" s="586"/>
      <c r="BE43" s="586"/>
      <c r="BF43" s="586"/>
      <c r="BG43" s="586"/>
      <c r="BH43" s="586"/>
      <c r="BI43" s="586"/>
      <c r="BJ43" s="586"/>
      <c r="BK43" s="586"/>
      <c r="BL43" s="586"/>
      <c r="BM43" s="586"/>
      <c r="BN43" s="586"/>
      <c r="BO43" s="586"/>
      <c r="BP43" s="586"/>
      <c r="BQ43" s="586"/>
      <c r="BR43" s="586"/>
      <c r="BS43" s="586"/>
      <c r="BT43" s="586"/>
      <c r="BU43" s="586"/>
      <c r="BV43" s="586"/>
      <c r="BW43" s="586"/>
      <c r="BX43" s="586"/>
      <c r="BY43" s="586"/>
      <c r="BZ43" s="586"/>
      <c r="CA43" s="586"/>
      <c r="CB43" s="586"/>
      <c r="CC43" s="586"/>
      <c r="CD43" s="586"/>
      <c r="CE43" s="586"/>
      <c r="CF43" s="586"/>
      <c r="CG43" s="586"/>
      <c r="CH43" s="586"/>
      <c r="CI43" s="586"/>
      <c r="CJ43" s="586"/>
      <c r="CK43" s="260"/>
      <c r="CL43" s="271"/>
      <c r="CM43" s="39"/>
      <c r="CN43" s="270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271"/>
      <c r="DP43" s="39"/>
      <c r="DQ43" s="39"/>
      <c r="DR43" s="39"/>
      <c r="DS43" s="41"/>
      <c r="DT43" s="41"/>
      <c r="DV43" s="45"/>
      <c r="DW43" s="203"/>
      <c r="DX43" s="203"/>
      <c r="DY43" s="203"/>
    </row>
    <row r="44" spans="1:130" ht="13.05" customHeight="1" thickBot="1" x14ac:dyDescent="0.3"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P44" s="38"/>
      <c r="AT44" s="309"/>
      <c r="AU44" s="309"/>
      <c r="AV44" s="309"/>
      <c r="AW44" s="309"/>
      <c r="AX44" s="309"/>
      <c r="AY44" s="309"/>
      <c r="AZ44" s="309"/>
      <c r="BA44" s="309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Y44" s="35"/>
      <c r="CN44" s="48"/>
      <c r="DO44" s="47"/>
      <c r="DP44" s="239"/>
      <c r="DQ44" s="239"/>
      <c r="DU44" s="39"/>
      <c r="DV44" s="39"/>
      <c r="DW44" s="203" t="s">
        <v>512</v>
      </c>
      <c r="DX44" s="203"/>
    </row>
    <row r="45" spans="1:130" s="41" customFormat="1" ht="17.399999999999999" customHeight="1" thickBot="1" x14ac:dyDescent="0.25">
      <c r="A45" s="273"/>
      <c r="B45" s="285" t="s">
        <v>18</v>
      </c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301" t="s">
        <v>115</v>
      </c>
      <c r="Z45" s="275"/>
      <c r="AA45" s="302"/>
      <c r="AB45" s="302"/>
      <c r="AC45" s="302"/>
      <c r="AD45" s="302"/>
      <c r="AE45" s="302"/>
      <c r="AF45" s="275"/>
      <c r="AG45" s="303"/>
      <c r="AH45" s="303" t="s">
        <v>86</v>
      </c>
      <c r="AI45" s="303"/>
      <c r="AJ45" s="303"/>
      <c r="AK45" s="581" t="s">
        <v>90</v>
      </c>
      <c r="AL45" s="581"/>
      <c r="AM45" s="581"/>
      <c r="AN45" s="581"/>
      <c r="AO45" s="581"/>
      <c r="AP45" s="553" t="s">
        <v>94</v>
      </c>
      <c r="AQ45" s="553"/>
      <c r="AR45" s="553"/>
      <c r="AS45" s="553"/>
      <c r="AT45" s="553">
        <v>100</v>
      </c>
      <c r="AU45" s="553"/>
      <c r="AV45" s="553"/>
      <c r="AW45" s="553"/>
      <c r="AX45" s="553"/>
      <c r="AY45" s="553"/>
      <c r="AZ45" s="553"/>
      <c r="BA45" s="554">
        <v>75</v>
      </c>
      <c r="BB45" s="555"/>
      <c r="BC45" s="555"/>
      <c r="BD45" s="555"/>
      <c r="BE45" s="581">
        <v>50</v>
      </c>
      <c r="BF45" s="581"/>
      <c r="BG45" s="581"/>
      <c r="BH45" s="581"/>
      <c r="BI45" s="581"/>
      <c r="BJ45" s="581">
        <v>25</v>
      </c>
      <c r="BK45" s="581"/>
      <c r="BL45" s="581"/>
      <c r="BM45" s="581"/>
      <c r="BN45" s="581"/>
      <c r="BO45" s="294"/>
      <c r="BP45" s="294"/>
      <c r="BQ45" s="634" t="s">
        <v>421</v>
      </c>
      <c r="BR45" s="634"/>
      <c r="BS45" s="634"/>
      <c r="BT45" s="634"/>
      <c r="BU45" s="634"/>
      <c r="BV45" s="634"/>
      <c r="BW45" s="634"/>
      <c r="BX45" s="634"/>
      <c r="BY45" s="634"/>
      <c r="BZ45" s="634"/>
      <c r="CA45" s="275"/>
      <c r="CB45" s="275"/>
      <c r="CC45" s="603" t="s">
        <v>417</v>
      </c>
      <c r="CD45" s="603"/>
      <c r="CE45" s="603"/>
      <c r="CF45" s="603"/>
      <c r="CG45" s="603"/>
      <c r="CH45" s="603"/>
      <c r="CI45" s="603"/>
      <c r="CJ45" s="603"/>
      <c r="CK45" s="603"/>
      <c r="CL45" s="603"/>
      <c r="CM45" s="275"/>
      <c r="CN45" s="275"/>
      <c r="CO45" s="608" t="s">
        <v>67</v>
      </c>
      <c r="CP45" s="608"/>
      <c r="CQ45" s="608"/>
      <c r="CR45" s="608"/>
      <c r="CS45" s="608"/>
      <c r="CT45" s="608"/>
      <c r="CU45" s="608"/>
      <c r="CV45" s="608"/>
      <c r="CW45" s="608"/>
      <c r="CX45" s="608"/>
      <c r="CY45" s="608"/>
      <c r="CZ45" s="608"/>
      <c r="DA45" s="608"/>
      <c r="DB45" s="608"/>
      <c r="DC45" s="608"/>
      <c r="DD45" s="608"/>
      <c r="DE45" s="608"/>
      <c r="DF45" s="608"/>
      <c r="DG45" s="608"/>
      <c r="DH45" s="608"/>
      <c r="DI45" s="608"/>
      <c r="DJ45" s="608"/>
      <c r="DK45" s="608"/>
      <c r="DL45" s="608"/>
      <c r="DM45" s="608"/>
      <c r="DN45" s="608"/>
      <c r="DO45" s="286"/>
      <c r="DP45" s="279"/>
      <c r="DQ45" s="279"/>
      <c r="DU45" s="46"/>
      <c r="DV45" s="46"/>
      <c r="DW45" s="287" t="s">
        <v>131</v>
      </c>
      <c r="DX45" s="288" t="s">
        <v>17</v>
      </c>
      <c r="DY45" s="208" t="s">
        <v>516</v>
      </c>
      <c r="DZ45" s="208" t="s">
        <v>518</v>
      </c>
    </row>
    <row r="46" spans="1:130" ht="13.05" customHeight="1" x14ac:dyDescent="0.25">
      <c r="A46" s="266"/>
      <c r="B46" s="614" t="str">
        <f>IF(Combate!C7&lt;&gt;"",Combate!C7,"")</f>
        <v/>
      </c>
      <c r="C46" s="614"/>
      <c r="D46" s="614"/>
      <c r="E46" s="614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614"/>
      <c r="V46" s="614"/>
      <c r="W46" s="614"/>
      <c r="X46" s="614"/>
      <c r="Y46" s="614"/>
      <c r="Z46" s="582" t="str">
        <f t="shared" ref="Z46:Z53" si="0">IF($B46&lt;&gt;"",VLOOKUP($B46,$EE$87:$EP$135,4,FALSE),"")</f>
        <v/>
      </c>
      <c r="AA46" s="582"/>
      <c r="AB46" s="582"/>
      <c r="AC46" s="582"/>
      <c r="AD46" s="582"/>
      <c r="AE46" s="582"/>
      <c r="AF46" s="580" t="str">
        <f t="shared" ref="AF46:AF53" si="1">IF($B46&lt;&gt;"",VLOOKUP($B46,$EE$87:$EP$135,10,FALSE)+$DX46,"")</f>
        <v/>
      </c>
      <c r="AG46" s="580"/>
      <c r="AH46" s="580"/>
      <c r="AI46" s="580"/>
      <c r="AJ46" s="580"/>
      <c r="AK46" s="580" t="str">
        <f t="shared" ref="AK46:AK53" si="2">IF($B46&lt;&gt;"",VLOOKUP($B46,$EE$87:$EP$135,11,FALSE)+$DX46,"")</f>
        <v/>
      </c>
      <c r="AL46" s="580"/>
      <c r="AM46" s="580"/>
      <c r="AN46" s="580"/>
      <c r="AO46" s="580"/>
      <c r="AP46" s="580" t="str">
        <f t="shared" ref="AP46:AP53" si="3">IF($B46&lt;&gt;"",VLOOKUP($B46,$EE$87:$EP$135,12,FALSE)+$DX46,"")</f>
        <v/>
      </c>
      <c r="AQ46" s="580"/>
      <c r="AR46" s="580"/>
      <c r="AS46" s="580"/>
      <c r="AT46" s="580"/>
      <c r="AU46" s="580" t="str">
        <f t="shared" ref="AU46:AU53" si="4">IF($B46&lt;&gt;"",VLOOKUP($B46,$EE$87:$ET$135,13,FALSE)+FOR+IF(DW46="",0,DW46),"")</f>
        <v/>
      </c>
      <c r="AV46" s="580"/>
      <c r="AW46" s="580"/>
      <c r="AX46" s="580"/>
      <c r="AY46" s="580"/>
      <c r="AZ46" s="580" t="str">
        <f t="shared" ref="AZ46:AZ53" si="5">IF($B46&lt;&gt;"",VLOOKUP($B46,$EE$87:$ET$135,14,FALSE)+FOR+IF(DW46="",0,DW46),"")</f>
        <v/>
      </c>
      <c r="BA46" s="580"/>
      <c r="BB46" s="580"/>
      <c r="BC46" s="580"/>
      <c r="BD46" s="580"/>
      <c r="BE46" s="580" t="str">
        <f t="shared" ref="BE46:BE53" si="6">IF($B46&lt;&gt;"",VLOOKUP($B46,$EE$87:$ET$135,15,FALSE)+FOR+IF(DW46="",0,DW46),"")</f>
        <v/>
      </c>
      <c r="BF46" s="580"/>
      <c r="BG46" s="580"/>
      <c r="BH46" s="580"/>
      <c r="BI46" s="580"/>
      <c r="BJ46" s="580" t="str">
        <f t="shared" ref="BJ46:BJ53" si="7">IF($B46&lt;&gt;"",VLOOKUP($B46,$EE$87:$ET$135,16,FALSE)+FOR+IF(DW46="",0,DW46),"")</f>
        <v/>
      </c>
      <c r="BK46" s="580"/>
      <c r="BL46" s="580"/>
      <c r="BM46" s="580"/>
      <c r="BN46" s="580"/>
      <c r="BO46" s="283"/>
      <c r="BP46" s="247"/>
      <c r="BQ46" s="621" t="e">
        <f>FOR+FIS+VLOOKUP(Raça,$DW$79:DY84,3,FALSE)+SUM($DY$61:$DZ$66)</f>
        <v>#N/A</v>
      </c>
      <c r="BR46" s="622"/>
      <c r="BS46" s="622"/>
      <c r="BT46" s="622"/>
      <c r="BU46" s="622"/>
      <c r="BV46" s="623"/>
      <c r="BW46" s="623"/>
      <c r="BX46" s="623"/>
      <c r="BY46" s="623"/>
      <c r="BZ46" s="624"/>
      <c r="CA46" s="247"/>
      <c r="CB46" s="247"/>
      <c r="CC46" s="615" t="e">
        <f>VLOOKUP(Profissao,$DW$101:$DX$106,2,FALSE)+FIS +EHSorteada</f>
        <v>#N/A</v>
      </c>
      <c r="CD46" s="616"/>
      <c r="CE46" s="616"/>
      <c r="CF46" s="616"/>
      <c r="CG46" s="616"/>
      <c r="CH46" s="616"/>
      <c r="CI46" s="616"/>
      <c r="CJ46" s="616"/>
      <c r="CK46" s="616"/>
      <c r="CL46" s="617"/>
      <c r="CM46" s="247"/>
      <c r="CN46" s="39"/>
      <c r="CO46" s="570" t="str">
        <f>Combate!$CO16</f>
        <v/>
      </c>
      <c r="CP46" s="570"/>
      <c r="CQ46" s="570"/>
      <c r="CR46" s="570"/>
      <c r="CS46" s="570"/>
      <c r="CT46" s="570"/>
      <c r="CU46" s="570"/>
      <c r="CV46" s="570"/>
      <c r="CW46" s="570"/>
      <c r="CX46" s="570"/>
      <c r="CY46" s="570"/>
      <c r="CZ46" s="570"/>
      <c r="DA46" s="570"/>
      <c r="DB46" s="570"/>
      <c r="DC46" s="570"/>
      <c r="DD46" s="570"/>
      <c r="DE46" s="570"/>
      <c r="DF46" s="570"/>
      <c r="DG46" s="570"/>
      <c r="DH46" s="570"/>
      <c r="DI46" s="244"/>
      <c r="DJ46" s="572" t="str">
        <f>Combate!$CP16</f>
        <v/>
      </c>
      <c r="DK46" s="572"/>
      <c r="DL46" s="572"/>
      <c r="DM46" s="572"/>
      <c r="DN46" s="572"/>
      <c r="DO46" s="269"/>
      <c r="DP46" s="239"/>
      <c r="DQ46" s="239"/>
      <c r="DR46" s="239"/>
      <c r="DU46" s="45"/>
      <c r="DV46" s="45"/>
      <c r="DW46" s="44" t="str">
        <f>IF(Combate!AF7&lt;&gt;"",Combate!AF7,"")</f>
        <v/>
      </c>
      <c r="DX46" s="195" t="e">
        <f>IF(B46&lt;&gt;"",HLOOKUP(VLOOKUP(B46,$EE$87:$EF$135,2,FALSE),Combate!$R$16:$CM$17,2,FALSE)+IF(HLOOKUP(VLOOKUP(B46,$EE$87:$EF$135,2,FALSE),Combate!$R$16:$CM$17,2,FALSE)&gt;0,0,-7)+IF(DW46&lt;&gt;"",DW46,0),"")+DZ46</f>
        <v>#VALUE!</v>
      </c>
      <c r="DY46" s="207" t="e">
        <f t="shared" ref="DY46:DY52" si="8">VLOOKUP(B46,$EE$87:$EU$135,17,FALSE)</f>
        <v>#N/A</v>
      </c>
      <c r="DZ46" s="207" t="e">
        <f t="shared" ref="DZ46:DZ52" si="9">IF(DY46="PER",PER,0)+IF(DY46="AGI",AGI,0)+IF(DY46="FOR",FOR,0)</f>
        <v>#N/A</v>
      </c>
    </row>
    <row r="47" spans="1:130" ht="13.05" customHeight="1" thickBot="1" x14ac:dyDescent="0.3">
      <c r="A47" s="266"/>
      <c r="B47" s="551" t="str">
        <f>IF(Combate!C8&lt;&gt;"",Combate!C8,"")</f>
        <v/>
      </c>
      <c r="C47" s="551"/>
      <c r="D47" s="551"/>
      <c r="E47" s="551"/>
      <c r="F47" s="551"/>
      <c r="G47" s="551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60" t="str">
        <f t="shared" si="0"/>
        <v/>
      </c>
      <c r="AA47" s="560"/>
      <c r="AB47" s="560"/>
      <c r="AC47" s="560"/>
      <c r="AD47" s="560"/>
      <c r="AE47" s="560" t="str">
        <f t="shared" ref="AE47:AE53" si="10">IF($B47&lt;&gt;"",VLOOKUP($B47,$EE$87:$EP$135,10,FALSE)+$DX47,"")</f>
        <v/>
      </c>
      <c r="AF47" s="559" t="str">
        <f t="shared" si="1"/>
        <v/>
      </c>
      <c r="AG47" s="559"/>
      <c r="AH47" s="559"/>
      <c r="AI47" s="559"/>
      <c r="AJ47" s="559"/>
      <c r="AK47" s="559" t="str">
        <f t="shared" si="2"/>
        <v/>
      </c>
      <c r="AL47" s="559"/>
      <c r="AM47" s="559"/>
      <c r="AN47" s="559"/>
      <c r="AO47" s="559"/>
      <c r="AP47" s="559" t="str">
        <f t="shared" si="3"/>
        <v/>
      </c>
      <c r="AQ47" s="559"/>
      <c r="AR47" s="559"/>
      <c r="AS47" s="559"/>
      <c r="AT47" s="559"/>
      <c r="AU47" s="559" t="str">
        <f t="shared" si="4"/>
        <v/>
      </c>
      <c r="AV47" s="559"/>
      <c r="AW47" s="559"/>
      <c r="AX47" s="559"/>
      <c r="AY47" s="559"/>
      <c r="AZ47" s="559" t="str">
        <f t="shared" si="5"/>
        <v/>
      </c>
      <c r="BA47" s="559"/>
      <c r="BB47" s="559"/>
      <c r="BC47" s="559"/>
      <c r="BD47" s="559"/>
      <c r="BE47" s="559" t="str">
        <f t="shared" si="6"/>
        <v/>
      </c>
      <c r="BF47" s="559"/>
      <c r="BG47" s="559"/>
      <c r="BH47" s="559"/>
      <c r="BI47" s="559"/>
      <c r="BJ47" s="559" t="str">
        <f t="shared" si="7"/>
        <v/>
      </c>
      <c r="BK47" s="559"/>
      <c r="BL47" s="559"/>
      <c r="BM47" s="559"/>
      <c r="BN47" s="559"/>
      <c r="BO47" s="297"/>
      <c r="BP47" s="247"/>
      <c r="BQ47" s="625"/>
      <c r="BR47" s="626"/>
      <c r="BS47" s="626"/>
      <c r="BT47" s="626"/>
      <c r="BU47" s="626"/>
      <c r="BV47" s="626"/>
      <c r="BW47" s="626"/>
      <c r="BX47" s="626"/>
      <c r="BY47" s="626"/>
      <c r="BZ47" s="627"/>
      <c r="CA47" s="247"/>
      <c r="CB47" s="247"/>
      <c r="CC47" s="618"/>
      <c r="CD47" s="619"/>
      <c r="CE47" s="619"/>
      <c r="CF47" s="619"/>
      <c r="CG47" s="619"/>
      <c r="CH47" s="619"/>
      <c r="CI47" s="619"/>
      <c r="CJ47" s="619"/>
      <c r="CK47" s="619"/>
      <c r="CL47" s="620"/>
      <c r="CM47" s="247"/>
      <c r="CN47" s="39"/>
      <c r="CO47" s="570" t="str">
        <f>Combate!$CO17</f>
        <v/>
      </c>
      <c r="CP47" s="570"/>
      <c r="CQ47" s="570"/>
      <c r="CR47" s="570"/>
      <c r="CS47" s="570"/>
      <c r="CT47" s="570"/>
      <c r="CU47" s="570"/>
      <c r="CV47" s="570"/>
      <c r="CW47" s="570"/>
      <c r="CX47" s="570"/>
      <c r="CY47" s="570"/>
      <c r="CZ47" s="570"/>
      <c r="DA47" s="570"/>
      <c r="DB47" s="570"/>
      <c r="DC47" s="570"/>
      <c r="DD47" s="570"/>
      <c r="DE47" s="570"/>
      <c r="DF47" s="570"/>
      <c r="DG47" s="570"/>
      <c r="DH47" s="570"/>
      <c r="DI47" s="244"/>
      <c r="DJ47" s="572" t="str">
        <f>Combate!$CP17</f>
        <v/>
      </c>
      <c r="DK47" s="572"/>
      <c r="DL47" s="572"/>
      <c r="DM47" s="572"/>
      <c r="DN47" s="572"/>
      <c r="DO47" s="269"/>
      <c r="DP47" s="239"/>
      <c r="DQ47" s="239"/>
      <c r="DR47" s="239"/>
      <c r="DW47" s="44" t="str">
        <f>IF(Combate!AF8&lt;&gt;"",Combate!AF8,"")</f>
        <v/>
      </c>
      <c r="DX47" s="195" t="e">
        <f>IF(B47&lt;&gt;"",HLOOKUP(VLOOKUP(B47,$EE$87:$EF$135,2,FALSE),Combate!$R$16:$CM$17,2,FALSE)+IF(HLOOKUP(VLOOKUP(B47,$EE$87:$EF$135,2,FALSE),Combate!$R$16:$CM$17,2,FALSE)&gt;0,0,-7)+IF(DW47&lt;&gt;"",DW47,0),"")+DZ47</f>
        <v>#VALUE!</v>
      </c>
      <c r="DY47" s="207" t="e">
        <f t="shared" si="8"/>
        <v>#N/A</v>
      </c>
      <c r="DZ47" s="207" t="e">
        <f t="shared" si="9"/>
        <v>#N/A</v>
      </c>
    </row>
    <row r="48" spans="1:130" ht="13.05" customHeight="1" x14ac:dyDescent="0.25">
      <c r="A48" s="266"/>
      <c r="B48" s="551" t="str">
        <f>IF(Combate!C9&lt;&gt;"",Combate!C9,"")</f>
        <v/>
      </c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60" t="str">
        <f t="shared" si="0"/>
        <v/>
      </c>
      <c r="AA48" s="560"/>
      <c r="AB48" s="560"/>
      <c r="AC48" s="560"/>
      <c r="AD48" s="560"/>
      <c r="AE48" s="560" t="str">
        <f t="shared" si="10"/>
        <v/>
      </c>
      <c r="AF48" s="559" t="str">
        <f t="shared" si="1"/>
        <v/>
      </c>
      <c r="AG48" s="559"/>
      <c r="AH48" s="559"/>
      <c r="AI48" s="559"/>
      <c r="AJ48" s="559"/>
      <c r="AK48" s="559" t="str">
        <f t="shared" si="2"/>
        <v/>
      </c>
      <c r="AL48" s="559"/>
      <c r="AM48" s="559"/>
      <c r="AN48" s="559"/>
      <c r="AO48" s="559"/>
      <c r="AP48" s="559" t="str">
        <f t="shared" si="3"/>
        <v/>
      </c>
      <c r="AQ48" s="559"/>
      <c r="AR48" s="559"/>
      <c r="AS48" s="559"/>
      <c r="AT48" s="559"/>
      <c r="AU48" s="559" t="str">
        <f t="shared" si="4"/>
        <v/>
      </c>
      <c r="AV48" s="559"/>
      <c r="AW48" s="559"/>
      <c r="AX48" s="559"/>
      <c r="AY48" s="559"/>
      <c r="AZ48" s="559" t="str">
        <f t="shared" si="5"/>
        <v/>
      </c>
      <c r="BA48" s="559"/>
      <c r="BB48" s="559"/>
      <c r="BC48" s="559"/>
      <c r="BD48" s="559"/>
      <c r="BE48" s="559" t="str">
        <f t="shared" si="6"/>
        <v/>
      </c>
      <c r="BF48" s="559"/>
      <c r="BG48" s="559"/>
      <c r="BH48" s="559"/>
      <c r="BI48" s="559"/>
      <c r="BJ48" s="559" t="str">
        <f t="shared" si="7"/>
        <v/>
      </c>
      <c r="BK48" s="559"/>
      <c r="BL48" s="559"/>
      <c r="BM48" s="559"/>
      <c r="BN48" s="559"/>
      <c r="BO48" s="247"/>
      <c r="BP48" s="247"/>
      <c r="BQ48" s="298"/>
      <c r="BR48" s="299"/>
      <c r="BS48" s="299"/>
      <c r="BT48" s="299"/>
      <c r="BU48" s="299"/>
      <c r="BV48" s="299"/>
      <c r="BW48" s="299"/>
      <c r="BX48" s="299"/>
      <c r="BY48" s="299"/>
      <c r="BZ48" s="300"/>
      <c r="CA48" s="247"/>
      <c r="CB48" s="247"/>
      <c r="CC48" s="298"/>
      <c r="CD48" s="299"/>
      <c r="CE48" s="299"/>
      <c r="CF48" s="299"/>
      <c r="CG48" s="299"/>
      <c r="CH48" s="299"/>
      <c r="CI48" s="299"/>
      <c r="CJ48" s="299"/>
      <c r="CK48" s="299"/>
      <c r="CL48" s="300"/>
      <c r="CM48" s="247"/>
      <c r="CN48" s="39"/>
      <c r="CO48" s="570" t="str">
        <f>Combate!$CO18</f>
        <v/>
      </c>
      <c r="CP48" s="570"/>
      <c r="CQ48" s="570"/>
      <c r="CR48" s="570"/>
      <c r="CS48" s="570"/>
      <c r="CT48" s="570"/>
      <c r="CU48" s="570"/>
      <c r="CV48" s="570"/>
      <c r="CW48" s="570"/>
      <c r="CX48" s="570"/>
      <c r="CY48" s="570"/>
      <c r="CZ48" s="570"/>
      <c r="DA48" s="570"/>
      <c r="DB48" s="570"/>
      <c r="DC48" s="570"/>
      <c r="DD48" s="570"/>
      <c r="DE48" s="570"/>
      <c r="DF48" s="570"/>
      <c r="DG48" s="570"/>
      <c r="DH48" s="570"/>
      <c r="DI48" s="244"/>
      <c r="DJ48" s="572" t="str">
        <f>Combate!$CP18</f>
        <v/>
      </c>
      <c r="DK48" s="572"/>
      <c r="DL48" s="572"/>
      <c r="DM48" s="572"/>
      <c r="DN48" s="572"/>
      <c r="DO48" s="269"/>
      <c r="DP48" s="239"/>
      <c r="DQ48" s="239"/>
      <c r="DR48" s="239"/>
      <c r="DW48" s="44" t="str">
        <f>IF(Combate!AF9&lt;&gt;"",Combate!AF9,"")</f>
        <v/>
      </c>
      <c r="DX48" s="195" t="e">
        <f>IF(B48&lt;&gt;"",HLOOKUP(VLOOKUP(B48,$EE$87:$EF$135,2,FALSE),Combate!$R$16:$CM$17,2,FALSE)+IF(HLOOKUP(VLOOKUP(B48,$EE$87:$EF$135,2,FALSE),Combate!$R$16:$CM$17,2,FALSE)&gt;0,0,-7)+IF(DW48&lt;&gt;"",DW48,0),"")+DZ48</f>
        <v>#VALUE!</v>
      </c>
      <c r="DY48" s="207" t="e">
        <f t="shared" si="8"/>
        <v>#N/A</v>
      </c>
      <c r="DZ48" s="207" t="e">
        <f t="shared" si="9"/>
        <v>#N/A</v>
      </c>
    </row>
    <row r="49" spans="1:137" ht="13.05" customHeight="1" x14ac:dyDescent="0.25">
      <c r="A49" s="266"/>
      <c r="B49" s="551" t="str">
        <f>IF(Combate!C10&lt;&gt;"",Combate!C10,"")</f>
        <v/>
      </c>
      <c r="C49" s="551"/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60" t="str">
        <f t="shared" si="0"/>
        <v/>
      </c>
      <c r="AA49" s="560"/>
      <c r="AB49" s="560"/>
      <c r="AC49" s="560"/>
      <c r="AD49" s="560"/>
      <c r="AE49" s="560" t="str">
        <f t="shared" si="10"/>
        <v/>
      </c>
      <c r="AF49" s="559" t="str">
        <f t="shared" si="1"/>
        <v/>
      </c>
      <c r="AG49" s="559"/>
      <c r="AH49" s="559"/>
      <c r="AI49" s="559"/>
      <c r="AJ49" s="559"/>
      <c r="AK49" s="559" t="str">
        <f t="shared" si="2"/>
        <v/>
      </c>
      <c r="AL49" s="559"/>
      <c r="AM49" s="559"/>
      <c r="AN49" s="559"/>
      <c r="AO49" s="559"/>
      <c r="AP49" s="559" t="str">
        <f t="shared" si="3"/>
        <v/>
      </c>
      <c r="AQ49" s="559"/>
      <c r="AR49" s="559"/>
      <c r="AS49" s="559"/>
      <c r="AT49" s="559"/>
      <c r="AU49" s="559" t="str">
        <f t="shared" si="4"/>
        <v/>
      </c>
      <c r="AV49" s="559"/>
      <c r="AW49" s="559"/>
      <c r="AX49" s="559"/>
      <c r="AY49" s="559"/>
      <c r="AZ49" s="559" t="str">
        <f t="shared" si="5"/>
        <v/>
      </c>
      <c r="BA49" s="559"/>
      <c r="BB49" s="559"/>
      <c r="BC49" s="559"/>
      <c r="BD49" s="559"/>
      <c r="BE49" s="559" t="str">
        <f t="shared" si="6"/>
        <v/>
      </c>
      <c r="BF49" s="559"/>
      <c r="BG49" s="559"/>
      <c r="BH49" s="559"/>
      <c r="BI49" s="559"/>
      <c r="BJ49" s="559" t="str">
        <f t="shared" si="7"/>
        <v/>
      </c>
      <c r="BK49" s="559"/>
      <c r="BL49" s="559"/>
      <c r="BM49" s="559"/>
      <c r="BN49" s="559"/>
      <c r="BO49" s="283"/>
      <c r="BP49" s="247"/>
      <c r="BQ49" s="289"/>
      <c r="BR49" s="112"/>
      <c r="BS49" s="112"/>
      <c r="BT49" s="112"/>
      <c r="BU49" s="112"/>
      <c r="BV49" s="112"/>
      <c r="BW49" s="112"/>
      <c r="BX49" s="112"/>
      <c r="BY49" s="112"/>
      <c r="BZ49" s="290"/>
      <c r="CA49" s="247"/>
      <c r="CB49" s="247"/>
      <c r="CC49" s="289"/>
      <c r="CD49" s="112"/>
      <c r="CE49" s="112"/>
      <c r="CF49" s="112"/>
      <c r="CG49" s="112"/>
      <c r="CH49" s="112"/>
      <c r="CI49" s="112"/>
      <c r="CJ49" s="112"/>
      <c r="CK49" s="112"/>
      <c r="CL49" s="290"/>
      <c r="CM49" s="247"/>
      <c r="CN49" s="39"/>
      <c r="CO49" s="570" t="str">
        <f>Combate!$CO19</f>
        <v/>
      </c>
      <c r="CP49" s="570"/>
      <c r="CQ49" s="570"/>
      <c r="CR49" s="570"/>
      <c r="CS49" s="570"/>
      <c r="CT49" s="570"/>
      <c r="CU49" s="570"/>
      <c r="CV49" s="570"/>
      <c r="CW49" s="570"/>
      <c r="CX49" s="570"/>
      <c r="CY49" s="570"/>
      <c r="CZ49" s="570"/>
      <c r="DA49" s="570"/>
      <c r="DB49" s="570"/>
      <c r="DC49" s="570"/>
      <c r="DD49" s="570"/>
      <c r="DE49" s="570"/>
      <c r="DF49" s="570"/>
      <c r="DG49" s="570"/>
      <c r="DH49" s="570"/>
      <c r="DI49" s="244"/>
      <c r="DJ49" s="572" t="str">
        <f>Combate!$CP19</f>
        <v/>
      </c>
      <c r="DK49" s="572"/>
      <c r="DL49" s="572"/>
      <c r="DM49" s="572"/>
      <c r="DN49" s="572"/>
      <c r="DO49" s="269"/>
      <c r="DP49" s="239"/>
      <c r="DQ49" s="239"/>
      <c r="DR49" s="239"/>
      <c r="DW49" s="44" t="str">
        <f>IF(Combate!AF10&lt;&gt;"",Combate!AF10,"")</f>
        <v/>
      </c>
      <c r="DX49" s="195" t="e">
        <f>IF(B49&lt;&gt;"",HLOOKUP(VLOOKUP(B49,$EE$87:$EF$135,2,FALSE),Combate!$R$16:$CM$17,2,FALSE)+IF(HLOOKUP(VLOOKUP(B49,$EE$87:$EF$135,2,FALSE),Combate!$R$16:$CM$17,2,FALSE)&gt;0,0,-7)+IF(DW49&lt;&gt;"",DW49,0),"")+DZ49</f>
        <v>#VALUE!</v>
      </c>
      <c r="DY49" s="207" t="e">
        <f t="shared" si="8"/>
        <v>#N/A</v>
      </c>
      <c r="DZ49" s="207" t="e">
        <f t="shared" si="9"/>
        <v>#N/A</v>
      </c>
    </row>
    <row r="50" spans="1:137" ht="13.05" customHeight="1" x14ac:dyDescent="0.25">
      <c r="A50" s="266"/>
      <c r="B50" s="551" t="str">
        <f>IF(Combate!C11&lt;&gt;"",Combate!C11,"")</f>
        <v/>
      </c>
      <c r="C50" s="551"/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60" t="str">
        <f t="shared" si="0"/>
        <v/>
      </c>
      <c r="AA50" s="560"/>
      <c r="AB50" s="560"/>
      <c r="AC50" s="560"/>
      <c r="AD50" s="560"/>
      <c r="AE50" s="560" t="str">
        <f t="shared" si="10"/>
        <v/>
      </c>
      <c r="AF50" s="559" t="str">
        <f t="shared" si="1"/>
        <v/>
      </c>
      <c r="AG50" s="559"/>
      <c r="AH50" s="559"/>
      <c r="AI50" s="559"/>
      <c r="AJ50" s="559"/>
      <c r="AK50" s="559" t="str">
        <f t="shared" si="2"/>
        <v/>
      </c>
      <c r="AL50" s="559"/>
      <c r="AM50" s="559"/>
      <c r="AN50" s="559"/>
      <c r="AO50" s="559"/>
      <c r="AP50" s="559" t="str">
        <f t="shared" si="3"/>
        <v/>
      </c>
      <c r="AQ50" s="559"/>
      <c r="AR50" s="559"/>
      <c r="AS50" s="559"/>
      <c r="AT50" s="559"/>
      <c r="AU50" s="559" t="str">
        <f t="shared" si="4"/>
        <v/>
      </c>
      <c r="AV50" s="559"/>
      <c r="AW50" s="559"/>
      <c r="AX50" s="559"/>
      <c r="AY50" s="559"/>
      <c r="AZ50" s="559" t="str">
        <f t="shared" si="5"/>
        <v/>
      </c>
      <c r="BA50" s="559"/>
      <c r="BB50" s="559"/>
      <c r="BC50" s="559"/>
      <c r="BD50" s="559"/>
      <c r="BE50" s="559" t="str">
        <f t="shared" si="6"/>
        <v/>
      </c>
      <c r="BF50" s="559"/>
      <c r="BG50" s="559"/>
      <c r="BH50" s="559"/>
      <c r="BI50" s="559"/>
      <c r="BJ50" s="559" t="str">
        <f t="shared" si="7"/>
        <v/>
      </c>
      <c r="BK50" s="559"/>
      <c r="BL50" s="559"/>
      <c r="BM50" s="559"/>
      <c r="BN50" s="559"/>
      <c r="BO50" s="297"/>
      <c r="BP50" s="247"/>
      <c r="BQ50" s="289"/>
      <c r="BR50" s="112"/>
      <c r="BS50" s="112"/>
      <c r="BT50" s="112"/>
      <c r="BU50" s="112"/>
      <c r="BV50" s="112"/>
      <c r="BW50" s="112"/>
      <c r="BX50" s="112"/>
      <c r="BY50" s="112"/>
      <c r="BZ50" s="290"/>
      <c r="CA50" s="247"/>
      <c r="CB50" s="247"/>
      <c r="CC50" s="289"/>
      <c r="CD50" s="112"/>
      <c r="CE50" s="112"/>
      <c r="CF50" s="112"/>
      <c r="CG50" s="112"/>
      <c r="CH50" s="112"/>
      <c r="CI50" s="112"/>
      <c r="CJ50" s="112"/>
      <c r="CK50" s="112"/>
      <c r="CL50" s="290"/>
      <c r="CM50" s="247"/>
      <c r="CN50" s="39"/>
      <c r="CO50" s="570" t="str">
        <f>Combate!$CO20</f>
        <v/>
      </c>
      <c r="CP50" s="570"/>
      <c r="CQ50" s="570"/>
      <c r="CR50" s="570"/>
      <c r="CS50" s="570"/>
      <c r="CT50" s="570"/>
      <c r="CU50" s="570"/>
      <c r="CV50" s="570"/>
      <c r="CW50" s="570"/>
      <c r="CX50" s="570"/>
      <c r="CY50" s="570"/>
      <c r="CZ50" s="570"/>
      <c r="DA50" s="570"/>
      <c r="DB50" s="570"/>
      <c r="DC50" s="570"/>
      <c r="DD50" s="570"/>
      <c r="DE50" s="570"/>
      <c r="DF50" s="570"/>
      <c r="DG50" s="570"/>
      <c r="DH50" s="570"/>
      <c r="DI50" s="244"/>
      <c r="DJ50" s="572" t="str">
        <f>Combate!$CP20</f>
        <v/>
      </c>
      <c r="DK50" s="572"/>
      <c r="DL50" s="572"/>
      <c r="DM50" s="572"/>
      <c r="DN50" s="572"/>
      <c r="DO50" s="269"/>
      <c r="DP50" s="239"/>
      <c r="DQ50" s="239"/>
      <c r="DR50" s="239"/>
      <c r="DW50" s="44" t="str">
        <f>IF(Combate!AF11&lt;&gt;"",Combate!AF11,"")</f>
        <v/>
      </c>
      <c r="DX50" s="195" t="e">
        <f>IF(B50&lt;&gt;"",HLOOKUP(VLOOKUP(B50,$EE$87:$EF$135,2,FALSE),Combate!$R$16:$CM$17,2,FALSE)+IF(HLOOKUP(VLOOKUP(B50,$EE$87:$EF$135,2,FALSE),Combate!$R$16:$CM$17,2,FALSE)&gt;0,0,-7)+IF(DW50&lt;&gt;"",DW50,0),"")+DZ50</f>
        <v>#VALUE!</v>
      </c>
      <c r="DY50" s="207" t="e">
        <f t="shared" si="8"/>
        <v>#N/A</v>
      </c>
      <c r="DZ50" s="207" t="e">
        <f t="shared" si="9"/>
        <v>#N/A</v>
      </c>
    </row>
    <row r="51" spans="1:137" ht="13.05" customHeight="1" x14ac:dyDescent="0.25">
      <c r="A51" s="266"/>
      <c r="B51" s="551" t="str">
        <f>IF(Combate!C12&lt;&gt;"",Combate!C12,"")</f>
        <v/>
      </c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60" t="str">
        <f t="shared" si="0"/>
        <v/>
      </c>
      <c r="AA51" s="560"/>
      <c r="AB51" s="560"/>
      <c r="AC51" s="560"/>
      <c r="AD51" s="560"/>
      <c r="AE51" s="560" t="str">
        <f t="shared" si="10"/>
        <v/>
      </c>
      <c r="AF51" s="559" t="str">
        <f t="shared" si="1"/>
        <v/>
      </c>
      <c r="AG51" s="559"/>
      <c r="AH51" s="559"/>
      <c r="AI51" s="559"/>
      <c r="AJ51" s="559"/>
      <c r="AK51" s="559" t="str">
        <f t="shared" si="2"/>
        <v/>
      </c>
      <c r="AL51" s="559"/>
      <c r="AM51" s="559"/>
      <c r="AN51" s="559"/>
      <c r="AO51" s="559"/>
      <c r="AP51" s="559" t="str">
        <f t="shared" si="3"/>
        <v/>
      </c>
      <c r="AQ51" s="559"/>
      <c r="AR51" s="559"/>
      <c r="AS51" s="559"/>
      <c r="AT51" s="559"/>
      <c r="AU51" s="559" t="str">
        <f t="shared" si="4"/>
        <v/>
      </c>
      <c r="AV51" s="559"/>
      <c r="AW51" s="559"/>
      <c r="AX51" s="559"/>
      <c r="AY51" s="559"/>
      <c r="AZ51" s="559" t="str">
        <f t="shared" si="5"/>
        <v/>
      </c>
      <c r="BA51" s="559"/>
      <c r="BB51" s="559"/>
      <c r="BC51" s="559"/>
      <c r="BD51" s="559"/>
      <c r="BE51" s="559" t="str">
        <f t="shared" si="6"/>
        <v/>
      </c>
      <c r="BF51" s="559"/>
      <c r="BG51" s="559"/>
      <c r="BH51" s="559"/>
      <c r="BI51" s="559"/>
      <c r="BJ51" s="559" t="str">
        <f t="shared" si="7"/>
        <v/>
      </c>
      <c r="BK51" s="559"/>
      <c r="BL51" s="559"/>
      <c r="BM51" s="559"/>
      <c r="BN51" s="559"/>
      <c r="BO51" s="247"/>
      <c r="BP51" s="247"/>
      <c r="BQ51" s="289"/>
      <c r="BR51" s="112"/>
      <c r="BS51" s="112"/>
      <c r="BT51" s="112"/>
      <c r="BU51" s="112"/>
      <c r="BV51" s="112"/>
      <c r="BW51" s="112"/>
      <c r="BX51" s="112"/>
      <c r="BY51" s="112"/>
      <c r="BZ51" s="290"/>
      <c r="CA51" s="247"/>
      <c r="CB51" s="247"/>
      <c r="CC51" s="289"/>
      <c r="CD51" s="112"/>
      <c r="CE51" s="112"/>
      <c r="CF51" s="112"/>
      <c r="CG51" s="112"/>
      <c r="CH51" s="112"/>
      <c r="CI51" s="112"/>
      <c r="CJ51" s="112"/>
      <c r="CK51" s="112"/>
      <c r="CL51" s="290"/>
      <c r="CM51" s="247"/>
      <c r="CN51" s="39"/>
      <c r="CO51" s="570" t="str">
        <f>Combate!$CO21</f>
        <v/>
      </c>
      <c r="CP51" s="570"/>
      <c r="CQ51" s="570"/>
      <c r="CR51" s="570"/>
      <c r="CS51" s="570"/>
      <c r="CT51" s="570"/>
      <c r="CU51" s="570"/>
      <c r="CV51" s="570"/>
      <c r="CW51" s="570"/>
      <c r="CX51" s="570"/>
      <c r="CY51" s="570"/>
      <c r="CZ51" s="570"/>
      <c r="DA51" s="570"/>
      <c r="DB51" s="570"/>
      <c r="DC51" s="570"/>
      <c r="DD51" s="570"/>
      <c r="DE51" s="570"/>
      <c r="DF51" s="570"/>
      <c r="DG51" s="570"/>
      <c r="DH51" s="570"/>
      <c r="DI51" s="244"/>
      <c r="DJ51" s="572" t="str">
        <f>Combate!$CP21</f>
        <v/>
      </c>
      <c r="DK51" s="572"/>
      <c r="DL51" s="572"/>
      <c r="DM51" s="572"/>
      <c r="DN51" s="572"/>
      <c r="DO51" s="269"/>
      <c r="DP51" s="239"/>
      <c r="DQ51" s="239"/>
      <c r="DR51" s="239"/>
      <c r="DW51" s="44" t="str">
        <f>IF(Combate!AF12&lt;&gt;"",Combate!AF12,"")</f>
        <v/>
      </c>
      <c r="DX51" s="195" t="e">
        <f>IF(B51&lt;&gt;"",HLOOKUP(VLOOKUP(B51,$EE$87:$EF$135,2,FALSE),Combate!$R$16:$CM$17,2,FALSE)+IF(HLOOKUP(VLOOKUP(B51,$EE$87:$EF$135,2,FALSE),Combate!$R$16:$CM$17,2,FALSE)&gt;0,0,-7)+IF(DW51&lt;&gt;"",DW51,0),"")+DZ51</f>
        <v>#VALUE!</v>
      </c>
      <c r="DY51" s="207" t="e">
        <f t="shared" si="8"/>
        <v>#N/A</v>
      </c>
      <c r="DZ51" s="207" t="e">
        <f t="shared" si="9"/>
        <v>#N/A</v>
      </c>
    </row>
    <row r="52" spans="1:137" ht="13.05" customHeight="1" x14ac:dyDescent="0.25">
      <c r="A52" s="266"/>
      <c r="B52" s="551" t="str">
        <f>IF(Combate!C13&lt;&gt;"",Combate!C13,"")</f>
        <v/>
      </c>
      <c r="C52" s="551"/>
      <c r="D52" s="551"/>
      <c r="E52" s="551"/>
      <c r="F52" s="551"/>
      <c r="G52" s="551"/>
      <c r="H52" s="551"/>
      <c r="I52" s="551"/>
      <c r="J52" s="551"/>
      <c r="K52" s="551"/>
      <c r="L52" s="551"/>
      <c r="M52" s="551"/>
      <c r="N52" s="551"/>
      <c r="O52" s="551"/>
      <c r="P52" s="551"/>
      <c r="Q52" s="551"/>
      <c r="R52" s="551"/>
      <c r="S52" s="551"/>
      <c r="T52" s="551"/>
      <c r="U52" s="551"/>
      <c r="V52" s="551"/>
      <c r="W52" s="551"/>
      <c r="X52" s="551"/>
      <c r="Y52" s="551"/>
      <c r="Z52" s="560" t="str">
        <f t="shared" si="0"/>
        <v/>
      </c>
      <c r="AA52" s="560"/>
      <c r="AB52" s="560"/>
      <c r="AC52" s="560"/>
      <c r="AD52" s="560"/>
      <c r="AE52" s="560" t="str">
        <f t="shared" si="10"/>
        <v/>
      </c>
      <c r="AF52" s="559" t="str">
        <f t="shared" si="1"/>
        <v/>
      </c>
      <c r="AG52" s="559"/>
      <c r="AH52" s="559"/>
      <c r="AI52" s="559"/>
      <c r="AJ52" s="559"/>
      <c r="AK52" s="559" t="str">
        <f t="shared" si="2"/>
        <v/>
      </c>
      <c r="AL52" s="559"/>
      <c r="AM52" s="559"/>
      <c r="AN52" s="559"/>
      <c r="AO52" s="559"/>
      <c r="AP52" s="559" t="str">
        <f t="shared" si="3"/>
        <v/>
      </c>
      <c r="AQ52" s="559"/>
      <c r="AR52" s="559"/>
      <c r="AS52" s="559"/>
      <c r="AT52" s="559"/>
      <c r="AU52" s="559" t="str">
        <f t="shared" si="4"/>
        <v/>
      </c>
      <c r="AV52" s="559"/>
      <c r="AW52" s="559"/>
      <c r="AX52" s="559"/>
      <c r="AY52" s="559"/>
      <c r="AZ52" s="559" t="str">
        <f t="shared" si="5"/>
        <v/>
      </c>
      <c r="BA52" s="559"/>
      <c r="BB52" s="559"/>
      <c r="BC52" s="559"/>
      <c r="BD52" s="559"/>
      <c r="BE52" s="559" t="str">
        <f t="shared" si="6"/>
        <v/>
      </c>
      <c r="BF52" s="559"/>
      <c r="BG52" s="559"/>
      <c r="BH52" s="559"/>
      <c r="BI52" s="559"/>
      <c r="BJ52" s="559" t="str">
        <f t="shared" si="7"/>
        <v/>
      </c>
      <c r="BK52" s="559"/>
      <c r="BL52" s="559"/>
      <c r="BM52" s="559"/>
      <c r="BN52" s="559"/>
      <c r="BO52" s="247"/>
      <c r="BP52" s="247"/>
      <c r="BQ52" s="289"/>
      <c r="BR52" s="112"/>
      <c r="BS52" s="112"/>
      <c r="BT52" s="112"/>
      <c r="BU52" s="112"/>
      <c r="BV52" s="112"/>
      <c r="BW52" s="112"/>
      <c r="BX52" s="112"/>
      <c r="BY52" s="112"/>
      <c r="BZ52" s="290"/>
      <c r="CA52" s="247"/>
      <c r="CB52" s="247"/>
      <c r="CC52" s="289"/>
      <c r="CD52" s="112"/>
      <c r="CE52" s="112"/>
      <c r="CF52" s="112"/>
      <c r="CG52" s="112"/>
      <c r="CH52" s="112"/>
      <c r="CI52" s="112"/>
      <c r="CJ52" s="112"/>
      <c r="CK52" s="112"/>
      <c r="CL52" s="290"/>
      <c r="CM52" s="247"/>
      <c r="CN52" s="39"/>
      <c r="CO52" s="570" t="str">
        <f>Combate!$CO22</f>
        <v/>
      </c>
      <c r="CP52" s="570"/>
      <c r="CQ52" s="570"/>
      <c r="CR52" s="570"/>
      <c r="CS52" s="570"/>
      <c r="CT52" s="570"/>
      <c r="CU52" s="570"/>
      <c r="CV52" s="570"/>
      <c r="CW52" s="570"/>
      <c r="CX52" s="570"/>
      <c r="CY52" s="570"/>
      <c r="CZ52" s="570"/>
      <c r="DA52" s="570"/>
      <c r="DB52" s="570"/>
      <c r="DC52" s="570"/>
      <c r="DD52" s="570"/>
      <c r="DE52" s="570"/>
      <c r="DF52" s="570"/>
      <c r="DG52" s="570"/>
      <c r="DH52" s="570"/>
      <c r="DI52" s="244"/>
      <c r="DJ52" s="572" t="str">
        <f>Combate!$CP22</f>
        <v/>
      </c>
      <c r="DK52" s="572"/>
      <c r="DL52" s="572"/>
      <c r="DM52" s="572"/>
      <c r="DN52" s="572"/>
      <c r="DO52" s="269"/>
      <c r="DP52" s="239"/>
      <c r="DQ52" s="239"/>
      <c r="DR52" s="239"/>
      <c r="DW52" s="44" t="str">
        <f>IF(Combate!AF15&lt;&gt;"",Combate!AF15,"")</f>
        <v/>
      </c>
      <c r="DX52" s="195" t="e">
        <f>IF(B52&lt;&gt;"",HLOOKUP(VLOOKUP(B52,$EE$87:$EF$135,2,FALSE),Combate!$R$16:$CM$17,2,FALSE)+IF(HLOOKUP(VLOOKUP(B52,$EE$87:$EF$135,2,FALSE),Combate!$R$16:$CM$17,2,FALSE)&gt;0,0,-7)+IF(DW52&lt;&gt;"",DW52,0),"")+DZ52</f>
        <v>#VALUE!</v>
      </c>
      <c r="DY52" s="207" t="e">
        <f t="shared" si="8"/>
        <v>#N/A</v>
      </c>
      <c r="DZ52" s="207" t="e">
        <f t="shared" si="9"/>
        <v>#N/A</v>
      </c>
    </row>
    <row r="53" spans="1:137" ht="13.05" customHeight="1" thickBot="1" x14ac:dyDescent="0.3">
      <c r="A53" s="266"/>
      <c r="B53" s="551" t="str">
        <f>IF(Combate!C14&lt;&gt;"",Combate!C14,"")</f>
        <v/>
      </c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551"/>
      <c r="U53" s="551"/>
      <c r="V53" s="551"/>
      <c r="W53" s="551"/>
      <c r="X53" s="551"/>
      <c r="Y53" s="551"/>
      <c r="Z53" s="571" t="str">
        <f t="shared" si="0"/>
        <v/>
      </c>
      <c r="AA53" s="571"/>
      <c r="AB53" s="571"/>
      <c r="AC53" s="571"/>
      <c r="AD53" s="571"/>
      <c r="AE53" s="571" t="str">
        <f t="shared" si="10"/>
        <v/>
      </c>
      <c r="AF53" s="559" t="str">
        <f t="shared" si="1"/>
        <v/>
      </c>
      <c r="AG53" s="559"/>
      <c r="AH53" s="559"/>
      <c r="AI53" s="559"/>
      <c r="AJ53" s="559"/>
      <c r="AK53" s="559" t="str">
        <f t="shared" si="2"/>
        <v/>
      </c>
      <c r="AL53" s="559"/>
      <c r="AM53" s="559"/>
      <c r="AN53" s="559"/>
      <c r="AO53" s="559"/>
      <c r="AP53" s="559" t="str">
        <f t="shared" si="3"/>
        <v/>
      </c>
      <c r="AQ53" s="559"/>
      <c r="AR53" s="559"/>
      <c r="AS53" s="559"/>
      <c r="AT53" s="559"/>
      <c r="AU53" s="559" t="str">
        <f t="shared" si="4"/>
        <v/>
      </c>
      <c r="AV53" s="559"/>
      <c r="AW53" s="559"/>
      <c r="AX53" s="559"/>
      <c r="AY53" s="559"/>
      <c r="AZ53" s="559" t="str">
        <f t="shared" si="5"/>
        <v/>
      </c>
      <c r="BA53" s="559"/>
      <c r="BB53" s="559"/>
      <c r="BC53" s="559"/>
      <c r="BD53" s="559"/>
      <c r="BE53" s="559" t="str">
        <f t="shared" si="6"/>
        <v/>
      </c>
      <c r="BF53" s="559"/>
      <c r="BG53" s="559"/>
      <c r="BH53" s="559"/>
      <c r="BI53" s="559"/>
      <c r="BJ53" s="559" t="str">
        <f t="shared" si="7"/>
        <v/>
      </c>
      <c r="BK53" s="559"/>
      <c r="BL53" s="559"/>
      <c r="BM53" s="559"/>
      <c r="BN53" s="559"/>
      <c r="BO53" s="247"/>
      <c r="BP53" s="247"/>
      <c r="BQ53" s="291"/>
      <c r="BR53" s="292"/>
      <c r="BS53" s="292"/>
      <c r="BT53" s="292"/>
      <c r="BU53" s="292"/>
      <c r="BV53" s="292"/>
      <c r="BW53" s="292"/>
      <c r="BX53" s="292"/>
      <c r="BY53" s="292"/>
      <c r="BZ53" s="293"/>
      <c r="CA53" s="247"/>
      <c r="CB53" s="247"/>
      <c r="CC53" s="291"/>
      <c r="CD53" s="292"/>
      <c r="CE53" s="292"/>
      <c r="CF53" s="292"/>
      <c r="CG53" s="292"/>
      <c r="CH53" s="292"/>
      <c r="CI53" s="292"/>
      <c r="CJ53" s="292"/>
      <c r="CK53" s="292"/>
      <c r="CL53" s="293"/>
      <c r="CM53" s="247"/>
      <c r="CN53" s="39"/>
      <c r="CO53" s="570" t="str">
        <f>Combate!$CO23</f>
        <v/>
      </c>
      <c r="CP53" s="570"/>
      <c r="CQ53" s="570"/>
      <c r="CR53" s="570"/>
      <c r="CS53" s="570"/>
      <c r="CT53" s="570"/>
      <c r="CU53" s="570"/>
      <c r="CV53" s="570"/>
      <c r="CW53" s="570"/>
      <c r="CX53" s="570"/>
      <c r="CY53" s="570"/>
      <c r="CZ53" s="570"/>
      <c r="DA53" s="570"/>
      <c r="DB53" s="570"/>
      <c r="DC53" s="570"/>
      <c r="DD53" s="570"/>
      <c r="DE53" s="570"/>
      <c r="DF53" s="570"/>
      <c r="DG53" s="570"/>
      <c r="DH53" s="570"/>
      <c r="DI53" s="244"/>
      <c r="DJ53" s="572" t="str">
        <f>Combate!$CP23</f>
        <v/>
      </c>
      <c r="DK53" s="572"/>
      <c r="DL53" s="572"/>
      <c r="DM53" s="572"/>
      <c r="DN53" s="572"/>
      <c r="DO53" s="269"/>
      <c r="DP53" s="239"/>
      <c r="DQ53" s="239"/>
      <c r="DR53" s="239"/>
    </row>
    <row r="54" spans="1:137" ht="13.05" customHeight="1" thickBot="1" x14ac:dyDescent="0.3">
      <c r="A54" s="266"/>
      <c r="B54" s="576" t="s">
        <v>681</v>
      </c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76"/>
      <c r="AB54" s="576"/>
      <c r="AC54" s="576"/>
      <c r="AD54" s="576"/>
      <c r="AE54" s="576"/>
      <c r="AF54" s="576"/>
      <c r="AG54" s="576"/>
      <c r="AH54" s="576"/>
      <c r="AI54" s="576"/>
      <c r="AJ54" s="576"/>
      <c r="AK54" s="576"/>
      <c r="AL54" s="576"/>
      <c r="AM54" s="576"/>
      <c r="AN54" s="576"/>
      <c r="AO54" s="576"/>
      <c r="AP54" s="576"/>
      <c r="AQ54" s="576"/>
      <c r="AR54" s="576"/>
      <c r="AS54" s="576"/>
      <c r="AT54" s="576"/>
      <c r="AU54" s="576"/>
      <c r="AV54" s="576"/>
      <c r="AW54" s="576"/>
      <c r="AX54" s="576"/>
      <c r="AY54" s="576"/>
      <c r="AZ54" s="576"/>
      <c r="BA54" s="576"/>
      <c r="BB54" s="576"/>
      <c r="BC54" s="576"/>
      <c r="BD54" s="576"/>
      <c r="BE54" s="576"/>
      <c r="BF54" s="576"/>
      <c r="BG54" s="576"/>
      <c r="BH54" s="576"/>
      <c r="BI54" s="576"/>
      <c r="BJ54" s="576"/>
      <c r="BK54" s="576"/>
      <c r="BL54" s="576"/>
      <c r="BM54" s="576"/>
      <c r="BN54" s="576"/>
      <c r="BO54" s="247"/>
      <c r="BP54" s="247"/>
      <c r="BQ54" s="635" t="s">
        <v>24</v>
      </c>
      <c r="BR54" s="635"/>
      <c r="BS54" s="635"/>
      <c r="BT54" s="635"/>
      <c r="BU54" s="635"/>
      <c r="BV54" s="635"/>
      <c r="BW54" s="635"/>
      <c r="BX54" s="635"/>
      <c r="BY54" s="635"/>
      <c r="BZ54" s="635"/>
      <c r="CA54" s="635"/>
      <c r="CB54" s="635"/>
      <c r="CC54" s="635"/>
      <c r="CD54" s="635"/>
      <c r="CE54" s="635"/>
      <c r="CF54" s="635"/>
      <c r="CG54" s="635"/>
      <c r="CH54" s="635"/>
      <c r="CI54" s="635"/>
      <c r="CJ54" s="635"/>
      <c r="CK54" s="635"/>
      <c r="CL54" s="635"/>
      <c r="CM54" s="247"/>
      <c r="CN54" s="39"/>
      <c r="CO54" s="570" t="str">
        <f>Combate!$CO24</f>
        <v/>
      </c>
      <c r="CP54" s="570"/>
      <c r="CQ54" s="570"/>
      <c r="CR54" s="570"/>
      <c r="CS54" s="570"/>
      <c r="CT54" s="570"/>
      <c r="CU54" s="570"/>
      <c r="CV54" s="570"/>
      <c r="CW54" s="570"/>
      <c r="CX54" s="570"/>
      <c r="CY54" s="570"/>
      <c r="CZ54" s="570"/>
      <c r="DA54" s="570"/>
      <c r="DB54" s="570"/>
      <c r="DC54" s="570"/>
      <c r="DD54" s="570"/>
      <c r="DE54" s="570"/>
      <c r="DF54" s="570"/>
      <c r="DG54" s="570"/>
      <c r="DH54" s="570"/>
      <c r="DI54" s="244"/>
      <c r="DJ54" s="572" t="str">
        <f>Combate!$CP24</f>
        <v/>
      </c>
      <c r="DK54" s="572"/>
      <c r="DL54" s="572"/>
      <c r="DM54" s="572"/>
      <c r="DN54" s="572"/>
      <c r="DO54" s="242"/>
      <c r="DP54" s="239"/>
      <c r="DQ54" s="239"/>
      <c r="DR54" s="239"/>
    </row>
    <row r="55" spans="1:137" ht="13.05" customHeight="1" thickBot="1" x14ac:dyDescent="0.3">
      <c r="A55" s="266"/>
      <c r="B55" s="250" t="str">
        <f>IF(Combate!C20&lt;&gt;"",Combate!C20,"")</f>
        <v/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574" t="str">
        <f>IF(Equipa1&lt;&gt;"",DY61+DZ61,"")</f>
        <v/>
      </c>
      <c r="AG55" s="574"/>
      <c r="AH55" s="574"/>
      <c r="AI55" s="574"/>
      <c r="AJ55" s="574"/>
      <c r="AK55" s="247"/>
      <c r="AL55" s="562" t="str">
        <f>IF(Combate!C25&lt;&gt;"",Combate!C25,"")</f>
        <v/>
      </c>
      <c r="AM55" s="562"/>
      <c r="AN55" s="562"/>
      <c r="AO55" s="562"/>
      <c r="AP55" s="562"/>
      <c r="AQ55" s="562"/>
      <c r="AR55" s="562"/>
      <c r="AS55" s="562"/>
      <c r="AT55" s="562"/>
      <c r="AU55" s="562"/>
      <c r="AV55" s="562"/>
      <c r="AW55" s="562"/>
      <c r="AX55" s="562"/>
      <c r="AY55" s="562"/>
      <c r="AZ55" s="562"/>
      <c r="BA55" s="562"/>
      <c r="BB55" s="562"/>
      <c r="BC55" s="562"/>
      <c r="BD55" s="562"/>
      <c r="BE55" s="562"/>
      <c r="BF55" s="562"/>
      <c r="BG55" s="562"/>
      <c r="BH55" s="562"/>
      <c r="BI55" s="247"/>
      <c r="BJ55" s="574" t="str">
        <f>IF(DZ64&gt;0,DZ64,"")</f>
        <v/>
      </c>
      <c r="BK55" s="562"/>
      <c r="BL55" s="562"/>
      <c r="BM55" s="562"/>
      <c r="BN55" s="562"/>
      <c r="BO55" s="247"/>
      <c r="BP55" s="247"/>
      <c r="BQ55" s="577" t="s">
        <v>679</v>
      </c>
      <c r="BR55" s="578"/>
      <c r="BS55" s="578"/>
      <c r="BT55" s="578"/>
      <c r="BU55" s="578"/>
      <c r="BV55" s="578"/>
      <c r="BW55" s="578"/>
      <c r="BX55" s="578"/>
      <c r="BY55" s="578"/>
      <c r="BZ55" s="579"/>
      <c r="CA55" s="247"/>
      <c r="CB55" s="247"/>
      <c r="CC55" s="577" t="s">
        <v>680</v>
      </c>
      <c r="CD55" s="578"/>
      <c r="CE55" s="578"/>
      <c r="CF55" s="578"/>
      <c r="CG55" s="578"/>
      <c r="CH55" s="578"/>
      <c r="CI55" s="578"/>
      <c r="CJ55" s="578"/>
      <c r="CK55" s="578"/>
      <c r="CL55" s="579"/>
      <c r="CM55" s="247"/>
      <c r="CN55" s="39"/>
      <c r="CO55" s="570" t="str">
        <f>Combate!$CO25</f>
        <v/>
      </c>
      <c r="CP55" s="570"/>
      <c r="CQ55" s="570"/>
      <c r="CR55" s="570"/>
      <c r="CS55" s="570"/>
      <c r="CT55" s="570"/>
      <c r="CU55" s="570"/>
      <c r="CV55" s="570"/>
      <c r="CW55" s="570"/>
      <c r="CX55" s="570"/>
      <c r="CY55" s="570"/>
      <c r="CZ55" s="570"/>
      <c r="DA55" s="570"/>
      <c r="DB55" s="570"/>
      <c r="DC55" s="570"/>
      <c r="DD55" s="570"/>
      <c r="DE55" s="570"/>
      <c r="DF55" s="570"/>
      <c r="DG55" s="570"/>
      <c r="DH55" s="570"/>
      <c r="DI55" s="244"/>
      <c r="DJ55" s="572" t="str">
        <f>Combate!$CP25</f>
        <v/>
      </c>
      <c r="DK55" s="572"/>
      <c r="DL55" s="572"/>
      <c r="DM55" s="572"/>
      <c r="DN55" s="572"/>
      <c r="DO55" s="276"/>
      <c r="DP55" s="239"/>
      <c r="DQ55" s="51"/>
      <c r="DR55" s="51"/>
      <c r="DW55" s="35"/>
      <c r="DX55" s="35"/>
    </row>
    <row r="56" spans="1:137" ht="13.05" customHeight="1" x14ac:dyDescent="0.25">
      <c r="A56" s="266"/>
      <c r="B56" s="551" t="str">
        <f>IF(Combate!C21&lt;&gt;"",Combate!C21,"")</f>
        <v/>
      </c>
      <c r="C56" s="551"/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551"/>
      <c r="P56" s="551"/>
      <c r="Q56" s="551"/>
      <c r="R56" s="551"/>
      <c r="S56" s="551"/>
      <c r="T56" s="551"/>
      <c r="U56" s="551"/>
      <c r="V56" s="551"/>
      <c r="W56" s="551"/>
      <c r="X56" s="551"/>
      <c r="Y56" s="551"/>
      <c r="Z56" s="551"/>
      <c r="AA56" s="551"/>
      <c r="AB56" s="551"/>
      <c r="AC56" s="551"/>
      <c r="AD56" s="551"/>
      <c r="AF56" s="575" t="str">
        <f>IF(Equipa1&lt;&gt;"",DY62+DZ62,"")</f>
        <v/>
      </c>
      <c r="AG56" s="575"/>
      <c r="AH56" s="575"/>
      <c r="AI56" s="575"/>
      <c r="AJ56" s="575"/>
      <c r="AK56" s="247"/>
      <c r="AL56" s="573" t="str">
        <f>IF(Combate!C26&lt;&gt;"",Combate!C26,"")</f>
        <v/>
      </c>
      <c r="AM56" s="573"/>
      <c r="AN56" s="573"/>
      <c r="AO56" s="573"/>
      <c r="AP56" s="573"/>
      <c r="AQ56" s="573"/>
      <c r="AR56" s="573"/>
      <c r="AS56" s="573"/>
      <c r="AT56" s="573"/>
      <c r="AU56" s="573"/>
      <c r="AV56" s="573"/>
      <c r="AW56" s="573"/>
      <c r="AX56" s="573"/>
      <c r="AY56" s="573"/>
      <c r="AZ56" s="573"/>
      <c r="BA56" s="573"/>
      <c r="BB56" s="573"/>
      <c r="BC56" s="573"/>
      <c r="BD56" s="573"/>
      <c r="BE56" s="573"/>
      <c r="BF56" s="573"/>
      <c r="BG56" s="573"/>
      <c r="BH56" s="573"/>
      <c r="BI56" s="247"/>
      <c r="BJ56" s="575" t="str">
        <f t="shared" ref="BJ56:BJ57" si="11">IF(DZ65&gt;0,DZ65,"")</f>
        <v/>
      </c>
      <c r="BK56" s="573"/>
      <c r="BL56" s="573"/>
      <c r="BM56" s="573"/>
      <c r="BN56" s="573"/>
      <c r="BO56" s="247"/>
      <c r="BP56" s="247"/>
      <c r="BQ56" s="564" t="str">
        <f>IF(Equipa1="","L",VLOOKUP(Equipa1,DW88:DY93,3,FALSE)) &amp; (SUM(DW61:DX66)+AGI)</f>
        <v>L0</v>
      </c>
      <c r="BR56" s="565"/>
      <c r="BS56" s="565"/>
      <c r="BT56" s="565"/>
      <c r="BU56" s="565"/>
      <c r="BV56" s="565"/>
      <c r="BW56" s="565"/>
      <c r="BX56" s="565"/>
      <c r="BY56" s="565"/>
      <c r="BZ56" s="566"/>
      <c r="CA56" s="247"/>
      <c r="CB56" s="247"/>
      <c r="CC56" s="564" t="str">
        <f>IF(Equipa1="","L",VLOOKUP(Equipa1,DW88:DY93,3,FALSE)) &amp; (SUM(DW61:DX66))</f>
        <v>L0</v>
      </c>
      <c r="CD56" s="565"/>
      <c r="CE56" s="565"/>
      <c r="CF56" s="565"/>
      <c r="CG56" s="565"/>
      <c r="CH56" s="565"/>
      <c r="CI56" s="565"/>
      <c r="CJ56" s="565"/>
      <c r="CK56" s="565"/>
      <c r="CL56" s="566"/>
      <c r="CM56" s="247"/>
      <c r="CN56" s="247"/>
      <c r="CO56" s="570" t="str">
        <f>Combate!$CO26</f>
        <v/>
      </c>
      <c r="CP56" s="570"/>
      <c r="CQ56" s="570"/>
      <c r="CR56" s="570"/>
      <c r="CS56" s="570"/>
      <c r="CT56" s="570"/>
      <c r="CU56" s="570"/>
      <c r="CV56" s="570"/>
      <c r="CW56" s="570"/>
      <c r="CX56" s="570"/>
      <c r="CY56" s="570"/>
      <c r="CZ56" s="570"/>
      <c r="DA56" s="570"/>
      <c r="DB56" s="570"/>
      <c r="DC56" s="570"/>
      <c r="DD56" s="570"/>
      <c r="DE56" s="570"/>
      <c r="DF56" s="570"/>
      <c r="DG56" s="570"/>
      <c r="DH56" s="570"/>
      <c r="DI56" s="244"/>
      <c r="DJ56" s="572" t="str">
        <f>Combate!$CP26</f>
        <v/>
      </c>
      <c r="DK56" s="572"/>
      <c r="DL56" s="572"/>
      <c r="DM56" s="572"/>
      <c r="DN56" s="572"/>
      <c r="DO56" s="276"/>
      <c r="DP56" s="239"/>
      <c r="DQ56" s="51"/>
      <c r="DR56" s="51"/>
      <c r="DU56" s="39"/>
      <c r="DV56" s="39"/>
    </row>
    <row r="57" spans="1:137" ht="13.05" customHeight="1" thickBot="1" x14ac:dyDescent="0.25">
      <c r="A57" s="266"/>
      <c r="B57" s="551" t="str">
        <f>IF(Combate!C22&lt;&gt;"",Combate!C22,"")</f>
        <v/>
      </c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  <c r="W57" s="551"/>
      <c r="X57" s="551"/>
      <c r="Y57" s="551"/>
      <c r="Z57" s="551"/>
      <c r="AA57" s="551"/>
      <c r="AB57" s="551"/>
      <c r="AC57" s="551"/>
      <c r="AD57" s="551"/>
      <c r="AF57" s="575" t="str">
        <f>IF(Equipa1&lt;&gt;"",DY63+DZ63,"")</f>
        <v/>
      </c>
      <c r="AG57" s="575"/>
      <c r="AH57" s="575"/>
      <c r="AI57" s="575"/>
      <c r="AJ57" s="575"/>
      <c r="AK57" s="247"/>
      <c r="AL57" s="573" t="str">
        <f>IF(Combate!C27&lt;&gt;"",Combate!C27,"")</f>
        <v/>
      </c>
      <c r="AM57" s="573"/>
      <c r="AN57" s="573"/>
      <c r="AO57" s="573"/>
      <c r="AP57" s="573"/>
      <c r="AQ57" s="573"/>
      <c r="AR57" s="573"/>
      <c r="AS57" s="573"/>
      <c r="AT57" s="573"/>
      <c r="AU57" s="573"/>
      <c r="AV57" s="573"/>
      <c r="AW57" s="573"/>
      <c r="AX57" s="573"/>
      <c r="AY57" s="573"/>
      <c r="AZ57" s="573"/>
      <c r="BA57" s="573"/>
      <c r="BB57" s="573"/>
      <c r="BC57" s="573"/>
      <c r="BD57" s="573"/>
      <c r="BE57" s="573"/>
      <c r="BF57" s="573"/>
      <c r="BG57" s="573"/>
      <c r="BH57" s="573"/>
      <c r="BI57" s="247"/>
      <c r="BJ57" s="575" t="str">
        <f t="shared" si="11"/>
        <v/>
      </c>
      <c r="BK57" s="573"/>
      <c r="BL57" s="573"/>
      <c r="BM57" s="573"/>
      <c r="BN57" s="573"/>
      <c r="BO57" s="247"/>
      <c r="BP57" s="247"/>
      <c r="BQ57" s="567"/>
      <c r="BR57" s="568"/>
      <c r="BS57" s="568"/>
      <c r="BT57" s="568"/>
      <c r="BU57" s="568"/>
      <c r="BV57" s="568"/>
      <c r="BW57" s="568"/>
      <c r="BX57" s="568"/>
      <c r="BY57" s="568"/>
      <c r="BZ57" s="569"/>
      <c r="CA57" s="247"/>
      <c r="CB57" s="247"/>
      <c r="CC57" s="567"/>
      <c r="CD57" s="568"/>
      <c r="CE57" s="568"/>
      <c r="CF57" s="568"/>
      <c r="CG57" s="568"/>
      <c r="CH57" s="568"/>
      <c r="CI57" s="568"/>
      <c r="CJ57" s="568"/>
      <c r="CK57" s="568"/>
      <c r="CL57" s="569"/>
      <c r="CM57" s="247"/>
      <c r="CN57" s="41"/>
      <c r="CO57" s="570" t="str">
        <f>Combate!$CO27</f>
        <v/>
      </c>
      <c r="CP57" s="570"/>
      <c r="CQ57" s="570"/>
      <c r="CR57" s="570"/>
      <c r="CS57" s="570"/>
      <c r="CT57" s="570"/>
      <c r="CU57" s="570"/>
      <c r="CV57" s="570"/>
      <c r="CW57" s="570"/>
      <c r="CX57" s="570"/>
      <c r="CY57" s="570"/>
      <c r="CZ57" s="570"/>
      <c r="DA57" s="570"/>
      <c r="DB57" s="570"/>
      <c r="DC57" s="570"/>
      <c r="DD57" s="570"/>
      <c r="DE57" s="570"/>
      <c r="DF57" s="570"/>
      <c r="DG57" s="570"/>
      <c r="DH57" s="570"/>
      <c r="DI57" s="244"/>
      <c r="DJ57" s="572" t="str">
        <f>Combate!$CP27</f>
        <v/>
      </c>
      <c r="DK57" s="572"/>
      <c r="DL57" s="572"/>
      <c r="DM57" s="572"/>
      <c r="DN57" s="572"/>
      <c r="DO57" s="305"/>
      <c r="DP57" s="41"/>
      <c r="DQ57" s="52"/>
      <c r="DR57" s="52"/>
      <c r="DS57" s="41"/>
      <c r="DT57" s="41"/>
      <c r="DU57" s="45"/>
      <c r="DV57" s="45"/>
    </row>
    <row r="58" spans="1:137" ht="6" customHeight="1" thickBot="1" x14ac:dyDescent="0.25">
      <c r="A58" s="272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306"/>
      <c r="AC58" s="249"/>
      <c r="AD58" s="249"/>
      <c r="AE58" s="249"/>
      <c r="AF58" s="249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306"/>
      <c r="BK58" s="249"/>
      <c r="BL58" s="249"/>
      <c r="BM58" s="249"/>
      <c r="BN58" s="249"/>
      <c r="BO58" s="115"/>
      <c r="BP58" s="115"/>
      <c r="BQ58" s="307"/>
      <c r="BR58" s="307"/>
      <c r="BS58" s="307"/>
      <c r="BT58" s="307"/>
      <c r="BU58" s="307"/>
      <c r="BV58" s="307"/>
      <c r="BW58" s="307"/>
      <c r="BX58" s="307"/>
      <c r="BY58" s="307"/>
      <c r="BZ58" s="307"/>
      <c r="CA58" s="115"/>
      <c r="CB58" s="115"/>
      <c r="CC58" s="307"/>
      <c r="CD58" s="307"/>
      <c r="CE58" s="307"/>
      <c r="CF58" s="307"/>
      <c r="CG58" s="307"/>
      <c r="CH58" s="307"/>
      <c r="CI58" s="307"/>
      <c r="CJ58" s="307"/>
      <c r="CK58" s="307"/>
      <c r="CL58" s="307"/>
      <c r="CM58" s="115"/>
      <c r="CN58" s="284"/>
      <c r="CO58" s="249"/>
      <c r="CP58" s="249"/>
      <c r="CQ58" s="249"/>
      <c r="CR58" s="249"/>
      <c r="CS58" s="249"/>
      <c r="CT58" s="249"/>
      <c r="CU58" s="249"/>
      <c r="CV58" s="249"/>
      <c r="CW58" s="249"/>
      <c r="CX58" s="249"/>
      <c r="CY58" s="249"/>
      <c r="CZ58" s="249"/>
      <c r="DA58" s="249"/>
      <c r="DB58" s="249"/>
      <c r="DC58" s="249"/>
      <c r="DD58" s="249"/>
      <c r="DE58" s="249"/>
      <c r="DF58" s="249"/>
      <c r="DG58" s="249"/>
      <c r="DH58" s="249"/>
      <c r="DI58" s="249"/>
      <c r="DJ58" s="249"/>
      <c r="DK58" s="249"/>
      <c r="DL58" s="249"/>
      <c r="DM58" s="249"/>
      <c r="DN58" s="249"/>
      <c r="DO58" s="277"/>
      <c r="DQ58" s="51"/>
      <c r="DR58" s="51"/>
    </row>
    <row r="59" spans="1:137" s="41" customFormat="1" ht="13.05" customHeight="1" thickBot="1" x14ac:dyDescent="0.25">
      <c r="A59" s="3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245"/>
      <c r="CM59" s="245"/>
      <c r="CN59" s="245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54"/>
      <c r="DP59" s="36"/>
      <c r="DQ59" s="51"/>
      <c r="DR59" s="51"/>
      <c r="DS59" s="36"/>
      <c r="DT59" s="36"/>
      <c r="DW59" s="53" t="s">
        <v>491</v>
      </c>
      <c r="DX59" s="53" t="s">
        <v>492</v>
      </c>
      <c r="DY59" s="41" t="s">
        <v>493</v>
      </c>
      <c r="DZ59" s="41" t="s">
        <v>494</v>
      </c>
    </row>
    <row r="60" spans="1:137" ht="13.05" customHeight="1" thickBot="1" x14ac:dyDescent="0.25">
      <c r="A60" s="273"/>
      <c r="B60" s="304" t="s">
        <v>407</v>
      </c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610"/>
      <c r="CP60" s="610"/>
      <c r="CQ60" s="610"/>
      <c r="CR60" s="610"/>
      <c r="CS60" s="610"/>
      <c r="CT60" s="610"/>
      <c r="CU60" s="610"/>
      <c r="CV60" s="610"/>
      <c r="CW60" s="610"/>
      <c r="CX60" s="610"/>
      <c r="CY60" s="610"/>
      <c r="CZ60" s="610"/>
      <c r="DA60" s="610"/>
      <c r="DB60" s="610"/>
      <c r="DC60" s="610"/>
      <c r="DD60" s="610"/>
      <c r="DE60" s="610"/>
      <c r="DF60" s="610"/>
      <c r="DG60" s="610"/>
      <c r="DH60" s="610"/>
      <c r="DI60" s="610"/>
      <c r="DJ60" s="610"/>
      <c r="DK60" s="610"/>
      <c r="DL60" s="610"/>
      <c r="DM60" s="610"/>
      <c r="DN60" s="610"/>
      <c r="DO60" s="280"/>
      <c r="DQ60" s="51"/>
      <c r="DR60" s="51"/>
    </row>
    <row r="61" spans="1:137" ht="6" customHeight="1" x14ac:dyDescent="0.25">
      <c r="A61" s="266"/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7"/>
      <c r="BZ61" s="247"/>
      <c r="CA61" s="247"/>
      <c r="CB61" s="247"/>
      <c r="CC61" s="247"/>
      <c r="CD61" s="247"/>
      <c r="CE61" s="247"/>
      <c r="CF61" s="247"/>
      <c r="CG61" s="247"/>
      <c r="CH61" s="247"/>
      <c r="CI61" s="247"/>
      <c r="CJ61" s="247"/>
      <c r="CK61" s="247"/>
      <c r="CL61" s="247"/>
      <c r="CM61" s="247"/>
      <c r="CN61" s="247"/>
      <c r="CO61" s="247"/>
      <c r="CP61" s="247"/>
      <c r="CQ61" s="247"/>
      <c r="CR61" s="247"/>
      <c r="CS61" s="247"/>
      <c r="CT61" s="247"/>
      <c r="CU61" s="247"/>
      <c r="CV61" s="247"/>
      <c r="CW61" s="247"/>
      <c r="CX61" s="247"/>
      <c r="CY61" s="247"/>
      <c r="CZ61" s="247"/>
      <c r="DA61" s="247"/>
      <c r="DB61" s="247"/>
      <c r="DC61" s="247"/>
      <c r="DD61" s="247"/>
      <c r="DE61" s="247"/>
      <c r="DF61" s="247"/>
      <c r="DG61" s="247"/>
      <c r="DH61" s="247"/>
      <c r="DI61" s="247"/>
      <c r="DJ61" s="247"/>
      <c r="DK61" s="247"/>
      <c r="DL61" s="247"/>
      <c r="DM61" s="247"/>
      <c r="DN61" s="247"/>
      <c r="DO61" s="242"/>
      <c r="DQ61" s="51"/>
      <c r="DR61" s="51"/>
      <c r="DW61" s="55" t="str">
        <f>IF(Equipa1&lt;&gt;"",VLOOKUP(Equipa1,$DW$87:$EA$98,4,FALSE),"")</f>
        <v/>
      </c>
      <c r="DX61" s="56" t="str">
        <f>IF(Combate!Y20&lt;&gt;"",Combate!Y20,"")</f>
        <v/>
      </c>
      <c r="DY61" s="55" t="str">
        <f>IF(Equipa1&lt;&gt;"",VLOOKUP(Equipa1,$DW$87:$EA$98,5,FALSE),"")</f>
        <v/>
      </c>
      <c r="DZ61" s="56">
        <f>Combate!Y20</f>
        <v>0</v>
      </c>
      <c r="EA61" s="34"/>
      <c r="EC61" s="54"/>
      <c r="ED61" s="54"/>
      <c r="EE61" s="54"/>
      <c r="EF61" s="54"/>
    </row>
    <row r="62" spans="1:137" ht="13.05" customHeight="1" x14ac:dyDescent="0.25">
      <c r="A62" s="266"/>
      <c r="B62" s="551" t="str">
        <f>IF(Pertences!B5&lt;&gt;"",Pertences!B5,"")</f>
        <v/>
      </c>
      <c r="C62" s="551"/>
      <c r="D62" s="551"/>
      <c r="E62" s="551"/>
      <c r="F62" s="551"/>
      <c r="G62" s="551"/>
      <c r="H62" s="551"/>
      <c r="I62" s="551"/>
      <c r="J62" s="551"/>
      <c r="K62" s="551"/>
      <c r="L62" s="551"/>
      <c r="M62" s="551"/>
      <c r="N62" s="551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39"/>
      <c r="AE62" s="551" t="str">
        <f>IF(Pertences!C5&lt;&gt;"",Pertences!C5,"")</f>
        <v/>
      </c>
      <c r="AF62" s="551"/>
      <c r="AG62" s="551"/>
      <c r="AH62" s="551"/>
      <c r="AI62" s="551"/>
      <c r="AJ62" s="551"/>
      <c r="AK62" s="551"/>
      <c r="AL62" s="551"/>
      <c r="AM62" s="551"/>
      <c r="AN62" s="551"/>
      <c r="AO62" s="551"/>
      <c r="AP62" s="551"/>
      <c r="AQ62" s="551"/>
      <c r="AR62" s="551"/>
      <c r="AS62" s="551"/>
      <c r="AT62" s="551"/>
      <c r="AU62" s="551"/>
      <c r="AV62" s="551"/>
      <c r="AW62" s="551"/>
      <c r="AX62" s="551"/>
      <c r="AY62" s="551"/>
      <c r="AZ62" s="551"/>
      <c r="BA62" s="551"/>
      <c r="BB62" s="551"/>
      <c r="BC62" s="551"/>
      <c r="BD62" s="551"/>
      <c r="BE62" s="551"/>
      <c r="BF62" s="551"/>
      <c r="BG62" s="39"/>
      <c r="BH62" s="551" t="str">
        <f>IF(Pertences!D5&lt;&gt;"",Pertences!D5,"")</f>
        <v/>
      </c>
      <c r="BI62" s="551"/>
      <c r="BJ62" s="551"/>
      <c r="BK62" s="551"/>
      <c r="BL62" s="551"/>
      <c r="BM62" s="551"/>
      <c r="BN62" s="551"/>
      <c r="BO62" s="551"/>
      <c r="BP62" s="551"/>
      <c r="BQ62" s="551"/>
      <c r="BR62" s="551"/>
      <c r="BS62" s="551"/>
      <c r="BT62" s="551"/>
      <c r="BU62" s="551"/>
      <c r="BV62" s="551"/>
      <c r="BW62" s="551"/>
      <c r="BX62" s="551"/>
      <c r="BY62" s="551"/>
      <c r="BZ62" s="551"/>
      <c r="CA62" s="551"/>
      <c r="CB62" s="551"/>
      <c r="CC62" s="551"/>
      <c r="CD62" s="551"/>
      <c r="CE62" s="551"/>
      <c r="CF62" s="551"/>
      <c r="CG62" s="551"/>
      <c r="CH62" s="551"/>
      <c r="CI62" s="551"/>
      <c r="CJ62" s="551"/>
      <c r="CK62" s="551"/>
      <c r="CL62" s="551"/>
      <c r="CM62" s="551"/>
      <c r="CN62" s="247"/>
      <c r="CO62" s="551" t="str">
        <f>IF(Pertences!E5&lt;&gt;"",Pertences!E5,"")</f>
        <v/>
      </c>
      <c r="CP62" s="551"/>
      <c r="CQ62" s="551"/>
      <c r="CR62" s="551"/>
      <c r="CS62" s="551"/>
      <c r="CT62" s="551"/>
      <c r="CU62" s="551"/>
      <c r="CV62" s="551"/>
      <c r="CW62" s="551"/>
      <c r="CX62" s="551"/>
      <c r="CY62" s="551"/>
      <c r="CZ62" s="551"/>
      <c r="DA62" s="551"/>
      <c r="DB62" s="551"/>
      <c r="DC62" s="551"/>
      <c r="DD62" s="551"/>
      <c r="DE62" s="551"/>
      <c r="DF62" s="551"/>
      <c r="DG62" s="551"/>
      <c r="DH62" s="551"/>
      <c r="DI62" s="551"/>
      <c r="DJ62" s="551"/>
      <c r="DK62" s="551"/>
      <c r="DL62" s="551"/>
      <c r="DM62" s="551"/>
      <c r="DN62" s="551"/>
      <c r="DO62" s="242"/>
      <c r="DQ62" s="51"/>
      <c r="DR62" s="51"/>
      <c r="DW62" s="55" t="str">
        <f>IF(Equipa2&lt;&gt;"",VLOOKUP(Equipa2,$DW$87:$EA$98,4,FALSE),"")</f>
        <v/>
      </c>
      <c r="DX62" s="56" t="str">
        <f>IF(Combate!Y21&lt;&gt;"",Combate!Y21,"")</f>
        <v/>
      </c>
      <c r="DY62" s="55" t="str">
        <f>IF(Equipa2&lt;&gt;"",VLOOKUP(Equipa2,$DW$87:$EA$98,5,FALSE),"")</f>
        <v/>
      </c>
      <c r="DZ62" s="56">
        <f>Combate!Y21</f>
        <v>0</v>
      </c>
      <c r="EA62" s="34"/>
      <c r="EC62" s="54"/>
      <c r="ED62" s="54"/>
      <c r="EE62" s="54"/>
      <c r="EF62" s="54"/>
    </row>
    <row r="63" spans="1:137" ht="13.05" customHeight="1" x14ac:dyDescent="0.25">
      <c r="A63" s="266"/>
      <c r="B63" s="551" t="str">
        <f>IF(Pertences!B6&lt;&gt;"",Pertences!B6,"")</f>
        <v/>
      </c>
      <c r="C63" s="551"/>
      <c r="D63" s="551"/>
      <c r="E63" s="551"/>
      <c r="F63" s="551"/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1"/>
      <c r="AB63" s="551"/>
      <c r="AC63" s="551"/>
      <c r="AD63" s="39"/>
      <c r="AE63" s="551" t="str">
        <f>IF(Pertences!C6&lt;&gt;"",Pertences!C6,"")</f>
        <v/>
      </c>
      <c r="AF63" s="551"/>
      <c r="AG63" s="551"/>
      <c r="AH63" s="551"/>
      <c r="AI63" s="551"/>
      <c r="AJ63" s="551"/>
      <c r="AK63" s="551"/>
      <c r="AL63" s="551"/>
      <c r="AM63" s="551"/>
      <c r="AN63" s="551"/>
      <c r="AO63" s="551"/>
      <c r="AP63" s="551"/>
      <c r="AQ63" s="551"/>
      <c r="AR63" s="551"/>
      <c r="AS63" s="551"/>
      <c r="AT63" s="551"/>
      <c r="AU63" s="551"/>
      <c r="AV63" s="551"/>
      <c r="AW63" s="551"/>
      <c r="AX63" s="551"/>
      <c r="AY63" s="551"/>
      <c r="AZ63" s="551"/>
      <c r="BA63" s="551"/>
      <c r="BB63" s="551"/>
      <c r="BC63" s="551"/>
      <c r="BD63" s="551"/>
      <c r="BE63" s="551"/>
      <c r="BF63" s="551"/>
      <c r="BG63" s="39"/>
      <c r="BH63" s="551" t="str">
        <f>IF(Pertences!D6&lt;&gt;"",Pertences!D6,"")</f>
        <v/>
      </c>
      <c r="BI63" s="551"/>
      <c r="BJ63" s="551"/>
      <c r="BK63" s="551"/>
      <c r="BL63" s="551"/>
      <c r="BM63" s="551"/>
      <c r="BN63" s="551"/>
      <c r="BO63" s="551"/>
      <c r="BP63" s="551"/>
      <c r="BQ63" s="551"/>
      <c r="BR63" s="551"/>
      <c r="BS63" s="551"/>
      <c r="BT63" s="551"/>
      <c r="BU63" s="551"/>
      <c r="BV63" s="551"/>
      <c r="BW63" s="551"/>
      <c r="BX63" s="551"/>
      <c r="BY63" s="551"/>
      <c r="BZ63" s="551"/>
      <c r="CA63" s="551"/>
      <c r="CB63" s="551"/>
      <c r="CC63" s="551"/>
      <c r="CD63" s="551"/>
      <c r="CE63" s="551"/>
      <c r="CF63" s="551"/>
      <c r="CG63" s="551"/>
      <c r="CH63" s="551"/>
      <c r="CI63" s="551"/>
      <c r="CJ63" s="551"/>
      <c r="CK63" s="551"/>
      <c r="CL63" s="551"/>
      <c r="CM63" s="551"/>
      <c r="CN63" s="247"/>
      <c r="CO63" s="551" t="str">
        <f>IF(Pertences!E6&lt;&gt;"",Pertences!E6,"")</f>
        <v/>
      </c>
      <c r="CP63" s="551"/>
      <c r="CQ63" s="551"/>
      <c r="CR63" s="551"/>
      <c r="CS63" s="551"/>
      <c r="CT63" s="551"/>
      <c r="CU63" s="551"/>
      <c r="CV63" s="551"/>
      <c r="CW63" s="551"/>
      <c r="CX63" s="551"/>
      <c r="CY63" s="551"/>
      <c r="CZ63" s="551"/>
      <c r="DA63" s="551"/>
      <c r="DB63" s="551"/>
      <c r="DC63" s="551"/>
      <c r="DD63" s="551"/>
      <c r="DE63" s="551"/>
      <c r="DF63" s="551"/>
      <c r="DG63" s="551"/>
      <c r="DH63" s="551"/>
      <c r="DI63" s="551"/>
      <c r="DJ63" s="551"/>
      <c r="DK63" s="551"/>
      <c r="DL63" s="551"/>
      <c r="DM63" s="551"/>
      <c r="DN63" s="551"/>
      <c r="DO63" s="267"/>
      <c r="DQ63" s="51"/>
      <c r="DR63" s="51"/>
      <c r="DW63" s="55" t="str">
        <f>IF(Equipa3&lt;&gt;"",VLOOKUP(Equipa3,$DW$87:$EA$98,4,FALSE),"")</f>
        <v/>
      </c>
      <c r="DX63" s="56" t="str">
        <f>IF(Combate!Y22&lt;&gt;"",Combate!Y22,"")</f>
        <v/>
      </c>
      <c r="DY63" s="55" t="str">
        <f>IF(Equipa3&lt;&gt;"",VLOOKUP(Equipa3,$DW$87:$EA$98,5,FALSE),"")</f>
        <v/>
      </c>
      <c r="DZ63" s="56">
        <f>Combate!Y22</f>
        <v>0</v>
      </c>
      <c r="EA63" s="34"/>
      <c r="EC63" s="54"/>
      <c r="ED63" s="54"/>
      <c r="EE63" s="54"/>
      <c r="EF63" s="54"/>
    </row>
    <row r="64" spans="1:137" ht="13.05" customHeight="1" x14ac:dyDescent="0.25">
      <c r="A64" s="266"/>
      <c r="B64" s="551" t="str">
        <f>IF(Pertences!B7&lt;&gt;"",Pertences!B7,"")</f>
        <v/>
      </c>
      <c r="C64" s="551"/>
      <c r="D64" s="551"/>
      <c r="E64" s="551"/>
      <c r="F64" s="551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39"/>
      <c r="AE64" s="551" t="str">
        <f>IF(Pertences!C7&lt;&gt;"",Pertences!C7,"")</f>
        <v/>
      </c>
      <c r="AF64" s="551"/>
      <c r="AG64" s="551"/>
      <c r="AH64" s="551"/>
      <c r="AI64" s="551"/>
      <c r="AJ64" s="551"/>
      <c r="AK64" s="551"/>
      <c r="AL64" s="551"/>
      <c r="AM64" s="551"/>
      <c r="AN64" s="551"/>
      <c r="AO64" s="551"/>
      <c r="AP64" s="551"/>
      <c r="AQ64" s="551"/>
      <c r="AR64" s="551"/>
      <c r="AS64" s="551"/>
      <c r="AT64" s="551"/>
      <c r="AU64" s="551"/>
      <c r="AV64" s="551"/>
      <c r="AW64" s="551"/>
      <c r="AX64" s="551"/>
      <c r="AY64" s="551"/>
      <c r="AZ64" s="551"/>
      <c r="BA64" s="551"/>
      <c r="BB64" s="551"/>
      <c r="BC64" s="551"/>
      <c r="BD64" s="551"/>
      <c r="BE64" s="551"/>
      <c r="BF64" s="551"/>
      <c r="BG64" s="39"/>
      <c r="BH64" s="551" t="str">
        <f>IF(Pertences!D7&lt;&gt;"",Pertences!D7,"")</f>
        <v/>
      </c>
      <c r="BI64" s="551"/>
      <c r="BJ64" s="551"/>
      <c r="BK64" s="551"/>
      <c r="BL64" s="551"/>
      <c r="BM64" s="551"/>
      <c r="BN64" s="551"/>
      <c r="BO64" s="551"/>
      <c r="BP64" s="551"/>
      <c r="BQ64" s="551"/>
      <c r="BR64" s="551"/>
      <c r="BS64" s="551"/>
      <c r="BT64" s="551"/>
      <c r="BU64" s="551"/>
      <c r="BV64" s="551"/>
      <c r="BW64" s="551"/>
      <c r="BX64" s="551"/>
      <c r="BY64" s="551"/>
      <c r="BZ64" s="551"/>
      <c r="CA64" s="551"/>
      <c r="CB64" s="551"/>
      <c r="CC64" s="551"/>
      <c r="CD64" s="551"/>
      <c r="CE64" s="551"/>
      <c r="CF64" s="551"/>
      <c r="CG64" s="551"/>
      <c r="CH64" s="551"/>
      <c r="CI64" s="551"/>
      <c r="CJ64" s="551"/>
      <c r="CK64" s="551"/>
      <c r="CL64" s="551"/>
      <c r="CM64" s="551"/>
      <c r="CN64" s="247"/>
      <c r="CO64" s="551" t="str">
        <f>IF(Pertences!E7&lt;&gt;"",Pertences!E7,"")</f>
        <v/>
      </c>
      <c r="CP64" s="551"/>
      <c r="CQ64" s="551"/>
      <c r="CR64" s="551"/>
      <c r="CS64" s="551"/>
      <c r="CT64" s="551"/>
      <c r="CU64" s="551"/>
      <c r="CV64" s="551"/>
      <c r="CW64" s="551"/>
      <c r="CX64" s="551"/>
      <c r="CY64" s="551"/>
      <c r="CZ64" s="551"/>
      <c r="DA64" s="551"/>
      <c r="DB64" s="551"/>
      <c r="DC64" s="551"/>
      <c r="DD64" s="551"/>
      <c r="DE64" s="551"/>
      <c r="DF64" s="551"/>
      <c r="DG64" s="551"/>
      <c r="DH64" s="551"/>
      <c r="DI64" s="551"/>
      <c r="DJ64" s="551"/>
      <c r="DK64" s="551"/>
      <c r="DL64" s="551"/>
      <c r="DM64" s="551"/>
      <c r="DN64" s="551"/>
      <c r="DO64" s="267"/>
      <c r="DQ64" s="51"/>
      <c r="DR64" s="51"/>
      <c r="DW64" s="57"/>
      <c r="DX64" s="56" t="str">
        <f>IF(Equipa4&lt;&gt;"",Combate!Y25,"")</f>
        <v/>
      </c>
      <c r="DY64" s="58"/>
      <c r="DZ64" s="56">
        <f>Combate!AD25</f>
        <v>0</v>
      </c>
      <c r="EA64" s="34"/>
      <c r="EC64" s="35"/>
      <c r="ED64" s="35"/>
      <c r="EE64" s="35"/>
      <c r="EF64" s="35"/>
      <c r="EG64" s="35"/>
    </row>
    <row r="65" spans="1:137" ht="13.05" customHeight="1" x14ac:dyDescent="0.25">
      <c r="A65" s="266"/>
      <c r="B65" s="551" t="str">
        <f>IF(Pertences!B8&lt;&gt;"",Pertences!B8,"")</f>
        <v/>
      </c>
      <c r="C65" s="551"/>
      <c r="D65" s="551"/>
      <c r="E65" s="551"/>
      <c r="F65" s="551"/>
      <c r="G65" s="551"/>
      <c r="H65" s="551"/>
      <c r="I65" s="551"/>
      <c r="J65" s="551"/>
      <c r="K65" s="551"/>
      <c r="L65" s="551"/>
      <c r="M65" s="551"/>
      <c r="N65" s="551"/>
      <c r="O65" s="551"/>
      <c r="P65" s="551"/>
      <c r="Q65" s="551"/>
      <c r="R65" s="551"/>
      <c r="S65" s="551"/>
      <c r="T65" s="551"/>
      <c r="U65" s="551"/>
      <c r="V65" s="551"/>
      <c r="W65" s="551"/>
      <c r="X65" s="551"/>
      <c r="Y65" s="551"/>
      <c r="Z65" s="551"/>
      <c r="AA65" s="551"/>
      <c r="AB65" s="551"/>
      <c r="AC65" s="551"/>
      <c r="AD65" s="39"/>
      <c r="AE65" s="551" t="str">
        <f>IF(Pertences!C8&lt;&gt;"",Pertences!C8,"")</f>
        <v/>
      </c>
      <c r="AF65" s="551"/>
      <c r="AG65" s="551"/>
      <c r="AH65" s="551"/>
      <c r="AI65" s="551"/>
      <c r="AJ65" s="551"/>
      <c r="AK65" s="551"/>
      <c r="AL65" s="551"/>
      <c r="AM65" s="551"/>
      <c r="AN65" s="551"/>
      <c r="AO65" s="551"/>
      <c r="AP65" s="551"/>
      <c r="AQ65" s="551"/>
      <c r="AR65" s="551"/>
      <c r="AS65" s="551"/>
      <c r="AT65" s="551"/>
      <c r="AU65" s="551"/>
      <c r="AV65" s="551"/>
      <c r="AW65" s="551"/>
      <c r="AX65" s="551"/>
      <c r="AY65" s="551"/>
      <c r="AZ65" s="551"/>
      <c r="BA65" s="551"/>
      <c r="BB65" s="551"/>
      <c r="BC65" s="551"/>
      <c r="BD65" s="551"/>
      <c r="BE65" s="551"/>
      <c r="BF65" s="551"/>
      <c r="BG65" s="39"/>
      <c r="BH65" s="551" t="str">
        <f>IF(Pertences!D8&lt;&gt;"",Pertences!D8,"")</f>
        <v/>
      </c>
      <c r="BI65" s="551"/>
      <c r="BJ65" s="551"/>
      <c r="BK65" s="551"/>
      <c r="BL65" s="551"/>
      <c r="BM65" s="551"/>
      <c r="BN65" s="551"/>
      <c r="BO65" s="551"/>
      <c r="BP65" s="551"/>
      <c r="BQ65" s="551"/>
      <c r="BR65" s="551"/>
      <c r="BS65" s="551"/>
      <c r="BT65" s="551"/>
      <c r="BU65" s="551"/>
      <c r="BV65" s="551"/>
      <c r="BW65" s="551"/>
      <c r="BX65" s="551"/>
      <c r="BY65" s="551"/>
      <c r="BZ65" s="551"/>
      <c r="CA65" s="551"/>
      <c r="CB65" s="551"/>
      <c r="CC65" s="551"/>
      <c r="CD65" s="551"/>
      <c r="CE65" s="551"/>
      <c r="CF65" s="551"/>
      <c r="CG65" s="551"/>
      <c r="CH65" s="551"/>
      <c r="CI65" s="551"/>
      <c r="CJ65" s="551"/>
      <c r="CK65" s="551"/>
      <c r="CL65" s="551"/>
      <c r="CM65" s="551"/>
      <c r="CN65" s="247"/>
      <c r="CO65" s="551" t="str">
        <f>IF(Pertences!E8&lt;&gt;"",Pertences!E8,"")</f>
        <v/>
      </c>
      <c r="CP65" s="551"/>
      <c r="CQ65" s="551"/>
      <c r="CR65" s="551"/>
      <c r="CS65" s="551"/>
      <c r="CT65" s="551"/>
      <c r="CU65" s="551"/>
      <c r="CV65" s="551"/>
      <c r="CW65" s="551"/>
      <c r="CX65" s="551"/>
      <c r="CY65" s="551"/>
      <c r="CZ65" s="551"/>
      <c r="DA65" s="551"/>
      <c r="DB65" s="551"/>
      <c r="DC65" s="551"/>
      <c r="DD65" s="551"/>
      <c r="DE65" s="551"/>
      <c r="DF65" s="551"/>
      <c r="DG65" s="551"/>
      <c r="DH65" s="551"/>
      <c r="DI65" s="551"/>
      <c r="DJ65" s="551"/>
      <c r="DK65" s="551"/>
      <c r="DL65" s="551"/>
      <c r="DM65" s="551"/>
      <c r="DN65" s="551"/>
      <c r="DO65" s="281"/>
      <c r="DP65" s="39"/>
      <c r="DQ65" s="51"/>
      <c r="DR65" s="51"/>
      <c r="DW65" s="57"/>
      <c r="DX65" s="56" t="str">
        <f>IF(Equipa5&lt;&gt;"",Combate!Y26,"")</f>
        <v/>
      </c>
      <c r="DY65" s="58"/>
      <c r="DZ65" s="56">
        <f>Combate!AD26</f>
        <v>0</v>
      </c>
      <c r="EA65" s="34"/>
      <c r="EC65" s="35"/>
      <c r="ED65" s="35"/>
      <c r="EE65" s="35"/>
      <c r="EF65" s="35"/>
      <c r="EG65" s="35"/>
    </row>
    <row r="66" spans="1:137" ht="13.05" customHeight="1" x14ac:dyDescent="0.25">
      <c r="A66" s="266"/>
      <c r="B66" s="551" t="str">
        <f>IF(Pertences!B9&lt;&gt;"",Pertences!B9,"")</f>
        <v/>
      </c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551"/>
      <c r="N66" s="551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39"/>
      <c r="AE66" s="551" t="str">
        <f>IF(Pertences!C9&lt;&gt;"",Pertences!C9,"")</f>
        <v/>
      </c>
      <c r="AF66" s="551"/>
      <c r="AG66" s="551"/>
      <c r="AH66" s="551"/>
      <c r="AI66" s="551"/>
      <c r="AJ66" s="551"/>
      <c r="AK66" s="551"/>
      <c r="AL66" s="551"/>
      <c r="AM66" s="551"/>
      <c r="AN66" s="551"/>
      <c r="AO66" s="551"/>
      <c r="AP66" s="551"/>
      <c r="AQ66" s="551"/>
      <c r="AR66" s="551"/>
      <c r="AS66" s="551"/>
      <c r="AT66" s="551"/>
      <c r="AU66" s="551"/>
      <c r="AV66" s="551"/>
      <c r="AW66" s="551"/>
      <c r="AX66" s="551"/>
      <c r="AY66" s="551"/>
      <c r="AZ66" s="551"/>
      <c r="BA66" s="551"/>
      <c r="BB66" s="551"/>
      <c r="BC66" s="551"/>
      <c r="BD66" s="551"/>
      <c r="BE66" s="551"/>
      <c r="BF66" s="551"/>
      <c r="BG66" s="39"/>
      <c r="BH66" s="551" t="str">
        <f>IF(Pertences!D9&lt;&gt;"",Pertences!D9,"")</f>
        <v/>
      </c>
      <c r="BI66" s="551"/>
      <c r="BJ66" s="551"/>
      <c r="BK66" s="551"/>
      <c r="BL66" s="551"/>
      <c r="BM66" s="551"/>
      <c r="BN66" s="551"/>
      <c r="BO66" s="551"/>
      <c r="BP66" s="551"/>
      <c r="BQ66" s="551"/>
      <c r="BR66" s="551"/>
      <c r="BS66" s="551"/>
      <c r="BT66" s="551"/>
      <c r="BU66" s="551"/>
      <c r="BV66" s="551"/>
      <c r="BW66" s="551"/>
      <c r="BX66" s="551"/>
      <c r="BY66" s="551"/>
      <c r="BZ66" s="551"/>
      <c r="CA66" s="551"/>
      <c r="CB66" s="551"/>
      <c r="CC66" s="551"/>
      <c r="CD66" s="551"/>
      <c r="CE66" s="551"/>
      <c r="CF66" s="551"/>
      <c r="CG66" s="551"/>
      <c r="CH66" s="551"/>
      <c r="CI66" s="551"/>
      <c r="CJ66" s="551"/>
      <c r="CK66" s="551"/>
      <c r="CL66" s="551"/>
      <c r="CM66" s="551"/>
      <c r="CN66" s="247"/>
      <c r="CO66" s="551" t="str">
        <f>IF(Pertences!E9&lt;&gt;"",Pertences!E9,"")</f>
        <v/>
      </c>
      <c r="CP66" s="551"/>
      <c r="CQ66" s="551"/>
      <c r="CR66" s="551"/>
      <c r="CS66" s="551"/>
      <c r="CT66" s="551"/>
      <c r="CU66" s="551"/>
      <c r="CV66" s="551"/>
      <c r="CW66" s="551"/>
      <c r="CX66" s="551"/>
      <c r="CY66" s="551"/>
      <c r="CZ66" s="551"/>
      <c r="DA66" s="551"/>
      <c r="DB66" s="551"/>
      <c r="DC66" s="551"/>
      <c r="DD66" s="551"/>
      <c r="DE66" s="551"/>
      <c r="DF66" s="551"/>
      <c r="DG66" s="551"/>
      <c r="DH66" s="551"/>
      <c r="DI66" s="551"/>
      <c r="DJ66" s="551"/>
      <c r="DK66" s="551"/>
      <c r="DL66" s="551"/>
      <c r="DM66" s="551"/>
      <c r="DN66" s="551"/>
      <c r="DO66" s="269"/>
      <c r="DP66" s="39"/>
      <c r="DQ66" s="51"/>
      <c r="DR66" s="51"/>
      <c r="DW66" s="57"/>
      <c r="DX66" s="56" t="str">
        <f>IF(Equipa6&lt;&gt;"",Combate!Y27,"")</f>
        <v/>
      </c>
      <c r="DY66" s="58"/>
      <c r="DZ66" s="56">
        <f>Combate!AD27</f>
        <v>0</v>
      </c>
      <c r="EA66" s="34"/>
      <c r="EC66" s="54"/>
      <c r="ED66" s="54"/>
      <c r="EE66" s="54"/>
      <c r="EF66" s="54"/>
      <c r="EG66" s="54"/>
    </row>
    <row r="67" spans="1:137" ht="13.05" customHeight="1" x14ac:dyDescent="0.25">
      <c r="A67" s="266"/>
      <c r="B67" s="551" t="str">
        <f>IF(Pertences!B10&lt;&gt;"",Pertences!B10,"")</f>
        <v/>
      </c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39"/>
      <c r="AE67" s="551" t="str">
        <f>IF(Pertences!C10&lt;&gt;"",Pertences!C10,"")</f>
        <v/>
      </c>
      <c r="AF67" s="551"/>
      <c r="AG67" s="551"/>
      <c r="AH67" s="551"/>
      <c r="AI67" s="551"/>
      <c r="AJ67" s="551"/>
      <c r="AK67" s="551"/>
      <c r="AL67" s="551"/>
      <c r="AM67" s="551"/>
      <c r="AN67" s="551"/>
      <c r="AO67" s="551"/>
      <c r="AP67" s="551"/>
      <c r="AQ67" s="551"/>
      <c r="AR67" s="551"/>
      <c r="AS67" s="551"/>
      <c r="AT67" s="551"/>
      <c r="AU67" s="551"/>
      <c r="AV67" s="551"/>
      <c r="AW67" s="551"/>
      <c r="AX67" s="551"/>
      <c r="AY67" s="551"/>
      <c r="AZ67" s="551"/>
      <c r="BA67" s="551"/>
      <c r="BB67" s="551"/>
      <c r="BC67" s="551"/>
      <c r="BD67" s="551"/>
      <c r="BE67" s="551"/>
      <c r="BF67" s="551"/>
      <c r="BG67" s="39"/>
      <c r="BH67" s="551" t="str">
        <f>IF(Pertences!D10&lt;&gt;"",Pertences!D10,"")</f>
        <v/>
      </c>
      <c r="BI67" s="551"/>
      <c r="BJ67" s="551"/>
      <c r="BK67" s="551"/>
      <c r="BL67" s="551"/>
      <c r="BM67" s="551"/>
      <c r="BN67" s="551"/>
      <c r="BO67" s="551"/>
      <c r="BP67" s="551"/>
      <c r="BQ67" s="551"/>
      <c r="BR67" s="551"/>
      <c r="BS67" s="551"/>
      <c r="BT67" s="551"/>
      <c r="BU67" s="551"/>
      <c r="BV67" s="551"/>
      <c r="BW67" s="551"/>
      <c r="BX67" s="551"/>
      <c r="BY67" s="551"/>
      <c r="BZ67" s="551"/>
      <c r="CA67" s="551"/>
      <c r="CB67" s="551"/>
      <c r="CC67" s="551"/>
      <c r="CD67" s="551"/>
      <c r="CE67" s="551"/>
      <c r="CF67" s="551"/>
      <c r="CG67" s="551"/>
      <c r="CH67" s="551"/>
      <c r="CI67" s="551"/>
      <c r="CJ67" s="551"/>
      <c r="CK67" s="551"/>
      <c r="CL67" s="551"/>
      <c r="CM67" s="551"/>
      <c r="CN67" s="247"/>
      <c r="CO67" s="551" t="str">
        <f>IF(Pertences!E10&lt;&gt;"",Pertences!E10,"")</f>
        <v/>
      </c>
      <c r="CP67" s="551"/>
      <c r="CQ67" s="551"/>
      <c r="CR67" s="551"/>
      <c r="CS67" s="551"/>
      <c r="CT67" s="551"/>
      <c r="CU67" s="551"/>
      <c r="CV67" s="551"/>
      <c r="CW67" s="551"/>
      <c r="CX67" s="551"/>
      <c r="CY67" s="551"/>
      <c r="CZ67" s="551"/>
      <c r="DA67" s="551"/>
      <c r="DB67" s="551"/>
      <c r="DC67" s="551"/>
      <c r="DD67" s="551"/>
      <c r="DE67" s="551"/>
      <c r="DF67" s="551"/>
      <c r="DG67" s="551"/>
      <c r="DH67" s="551"/>
      <c r="DI67" s="551"/>
      <c r="DJ67" s="551"/>
      <c r="DK67" s="551"/>
      <c r="DL67" s="551"/>
      <c r="DM67" s="551"/>
      <c r="DN67" s="551"/>
      <c r="DO67" s="269"/>
      <c r="DP67" s="39"/>
      <c r="DQ67" s="51"/>
      <c r="DR67" s="51"/>
      <c r="DX67" s="34"/>
      <c r="DY67" s="34"/>
      <c r="DZ67" s="34"/>
      <c r="EA67" s="34"/>
      <c r="EB67" s="54"/>
      <c r="EC67" s="54"/>
      <c r="ED67" s="54"/>
      <c r="EE67" s="54"/>
      <c r="EF67" s="54"/>
      <c r="EG67" s="54"/>
    </row>
    <row r="68" spans="1:137" ht="13.05" customHeight="1" thickBot="1" x14ac:dyDescent="0.3">
      <c r="A68" s="266"/>
      <c r="B68" s="551" t="str">
        <f>IF(Pertences!B11&lt;&gt;"",Pertences!B11,"")</f>
        <v/>
      </c>
      <c r="C68" s="551"/>
      <c r="D68" s="551"/>
      <c r="E68" s="551"/>
      <c r="F68" s="551"/>
      <c r="G68" s="551"/>
      <c r="H68" s="551"/>
      <c r="I68" s="551"/>
      <c r="J68" s="551"/>
      <c r="K68" s="551"/>
      <c r="L68" s="551"/>
      <c r="M68" s="551"/>
      <c r="N68" s="551"/>
      <c r="O68" s="551"/>
      <c r="P68" s="551"/>
      <c r="Q68" s="551"/>
      <c r="R68" s="551"/>
      <c r="S68" s="551"/>
      <c r="T68" s="551"/>
      <c r="U68" s="551"/>
      <c r="V68" s="551"/>
      <c r="W68" s="551"/>
      <c r="X68" s="551"/>
      <c r="Y68" s="551"/>
      <c r="Z68" s="551"/>
      <c r="AA68" s="551"/>
      <c r="AB68" s="551"/>
      <c r="AC68" s="551"/>
      <c r="AD68" s="39"/>
      <c r="AE68" s="551" t="str">
        <f>IF(Pertences!C11&lt;&gt;"",Pertences!C11,"")</f>
        <v/>
      </c>
      <c r="AF68" s="551"/>
      <c r="AG68" s="551"/>
      <c r="AH68" s="551"/>
      <c r="AI68" s="551"/>
      <c r="AJ68" s="551"/>
      <c r="AK68" s="551"/>
      <c r="AL68" s="551"/>
      <c r="AM68" s="551"/>
      <c r="AN68" s="551"/>
      <c r="AO68" s="551"/>
      <c r="AP68" s="551"/>
      <c r="AQ68" s="551"/>
      <c r="AR68" s="551"/>
      <c r="AS68" s="551"/>
      <c r="AT68" s="551"/>
      <c r="AU68" s="551"/>
      <c r="AV68" s="551"/>
      <c r="AW68" s="551"/>
      <c r="AX68" s="551"/>
      <c r="AY68" s="551"/>
      <c r="AZ68" s="551"/>
      <c r="BA68" s="551"/>
      <c r="BB68" s="551"/>
      <c r="BC68" s="551"/>
      <c r="BD68" s="551"/>
      <c r="BE68" s="551"/>
      <c r="BF68" s="551"/>
      <c r="BG68" s="39"/>
      <c r="BH68" s="551" t="str">
        <f>IF(Pertences!D11&lt;&gt;"",Pertences!D11,"")</f>
        <v/>
      </c>
      <c r="BI68" s="551"/>
      <c r="BJ68" s="551"/>
      <c r="BK68" s="551"/>
      <c r="BL68" s="551"/>
      <c r="BM68" s="551"/>
      <c r="BN68" s="551"/>
      <c r="BO68" s="551"/>
      <c r="BP68" s="551"/>
      <c r="BQ68" s="551"/>
      <c r="BR68" s="551"/>
      <c r="BS68" s="551"/>
      <c r="BT68" s="551"/>
      <c r="BU68" s="551"/>
      <c r="BV68" s="551"/>
      <c r="BW68" s="551"/>
      <c r="BX68" s="551"/>
      <c r="BY68" s="551"/>
      <c r="BZ68" s="551"/>
      <c r="CA68" s="551"/>
      <c r="CB68" s="551"/>
      <c r="CC68" s="551"/>
      <c r="CD68" s="551"/>
      <c r="CE68" s="551"/>
      <c r="CF68" s="551"/>
      <c r="CG68" s="551"/>
      <c r="CH68" s="551"/>
      <c r="CI68" s="551"/>
      <c r="CJ68" s="551"/>
      <c r="CK68" s="551"/>
      <c r="CL68" s="551"/>
      <c r="CM68" s="551"/>
      <c r="CN68" s="247"/>
      <c r="CO68" s="611" t="s">
        <v>64</v>
      </c>
      <c r="CP68" s="611"/>
      <c r="CQ68" s="611"/>
      <c r="CR68" s="611"/>
      <c r="CS68" s="611"/>
      <c r="CT68" s="611"/>
      <c r="CU68" s="611"/>
      <c r="CV68" s="611"/>
      <c r="CW68" s="611"/>
      <c r="CX68" s="611"/>
      <c r="CY68" s="611"/>
      <c r="CZ68" s="611"/>
      <c r="DA68" s="611"/>
      <c r="DB68" s="611"/>
      <c r="DC68" s="611"/>
      <c r="DD68" s="611"/>
      <c r="DE68" s="611"/>
      <c r="DF68" s="611"/>
      <c r="DG68" s="611"/>
      <c r="DH68" s="611"/>
      <c r="DI68" s="611"/>
      <c r="DJ68" s="611"/>
      <c r="DK68" s="611"/>
      <c r="DL68" s="611"/>
      <c r="DM68" s="611"/>
      <c r="DN68" s="245"/>
      <c r="DO68" s="269"/>
      <c r="DQ68" s="51"/>
      <c r="DR68" s="51"/>
      <c r="DX68" s="34"/>
      <c r="DY68" s="34"/>
      <c r="DZ68" s="34"/>
      <c r="EA68" s="34"/>
      <c r="EB68" s="59"/>
      <c r="EC68" s="54"/>
      <c r="ED68" s="54"/>
      <c r="EE68" s="54"/>
      <c r="EF68" s="54"/>
      <c r="EG68" s="54"/>
    </row>
    <row r="69" spans="1:137" ht="13.05" customHeight="1" thickBot="1" x14ac:dyDescent="0.3">
      <c r="A69" s="272"/>
      <c r="B69" s="550" t="str">
        <f>IF(Pertences!B12&lt;&gt;"",Pertences!B12,"")</f>
        <v/>
      </c>
      <c r="C69" s="550"/>
      <c r="D69" s="550"/>
      <c r="E69" s="550"/>
      <c r="F69" s="550"/>
      <c r="G69" s="550"/>
      <c r="H69" s="550"/>
      <c r="I69" s="550"/>
      <c r="J69" s="550"/>
      <c r="K69" s="550"/>
      <c r="L69" s="550"/>
      <c r="M69" s="550"/>
      <c r="N69" s="550"/>
      <c r="O69" s="550"/>
      <c r="P69" s="550"/>
      <c r="Q69" s="550"/>
      <c r="R69" s="550"/>
      <c r="S69" s="550"/>
      <c r="T69" s="550"/>
      <c r="U69" s="550"/>
      <c r="V69" s="550"/>
      <c r="W69" s="550"/>
      <c r="X69" s="550"/>
      <c r="Y69" s="550"/>
      <c r="Z69" s="550"/>
      <c r="AA69" s="550"/>
      <c r="AB69" s="550"/>
      <c r="AC69" s="550"/>
      <c r="AD69" s="260"/>
      <c r="AE69" s="550" t="str">
        <f>IF(Pertences!C12&lt;&gt;"",Pertences!C12,"")</f>
        <v/>
      </c>
      <c r="AF69" s="550"/>
      <c r="AG69" s="550"/>
      <c r="AH69" s="550"/>
      <c r="AI69" s="550"/>
      <c r="AJ69" s="550"/>
      <c r="AK69" s="550"/>
      <c r="AL69" s="550"/>
      <c r="AM69" s="550"/>
      <c r="AN69" s="550"/>
      <c r="AO69" s="550"/>
      <c r="AP69" s="550"/>
      <c r="AQ69" s="550"/>
      <c r="AR69" s="550"/>
      <c r="AS69" s="550"/>
      <c r="AT69" s="550"/>
      <c r="AU69" s="550"/>
      <c r="AV69" s="550"/>
      <c r="AW69" s="550"/>
      <c r="AX69" s="550"/>
      <c r="AY69" s="550"/>
      <c r="AZ69" s="550"/>
      <c r="BA69" s="550"/>
      <c r="BB69" s="550"/>
      <c r="BC69" s="550"/>
      <c r="BD69" s="550"/>
      <c r="BE69" s="550"/>
      <c r="BF69" s="550"/>
      <c r="BG69" s="260"/>
      <c r="BH69" s="550" t="str">
        <f>IF(Pertences!D12&lt;&gt;"",Pertences!D12,"")</f>
        <v/>
      </c>
      <c r="BI69" s="550"/>
      <c r="BJ69" s="550"/>
      <c r="BK69" s="550"/>
      <c r="BL69" s="550"/>
      <c r="BM69" s="550"/>
      <c r="BN69" s="550"/>
      <c r="BO69" s="550"/>
      <c r="BP69" s="550"/>
      <c r="BQ69" s="550"/>
      <c r="BR69" s="550"/>
      <c r="BS69" s="550"/>
      <c r="BT69" s="550"/>
      <c r="BU69" s="550"/>
      <c r="BV69" s="550"/>
      <c r="BW69" s="550"/>
      <c r="BX69" s="550"/>
      <c r="BY69" s="550"/>
      <c r="BZ69" s="550"/>
      <c r="CA69" s="550"/>
      <c r="CB69" s="550"/>
      <c r="CC69" s="550"/>
      <c r="CD69" s="550"/>
      <c r="CE69" s="550"/>
      <c r="CF69" s="550"/>
      <c r="CG69" s="550"/>
      <c r="CH69" s="550"/>
      <c r="CI69" s="550"/>
      <c r="CJ69" s="550"/>
      <c r="CK69" s="550"/>
      <c r="CL69" s="550"/>
      <c r="CM69" s="550"/>
      <c r="CN69" s="260"/>
      <c r="CO69" s="609" t="str">
        <f>" M.C:"&amp;Pertences!C18 &amp;" / M.P:"&amp;Pertences!C19&amp;" / M.O:" &amp; Pertences!C20</f>
        <v xml:space="preserve"> M.C: / M.P: / M.O:</v>
      </c>
      <c r="CP69" s="609"/>
      <c r="CQ69" s="609"/>
      <c r="CR69" s="609"/>
      <c r="CS69" s="609"/>
      <c r="CT69" s="609"/>
      <c r="CU69" s="609"/>
      <c r="CV69" s="609"/>
      <c r="CW69" s="609"/>
      <c r="CX69" s="609"/>
      <c r="CY69" s="609"/>
      <c r="CZ69" s="609"/>
      <c r="DA69" s="609"/>
      <c r="DB69" s="609"/>
      <c r="DC69" s="609"/>
      <c r="DD69" s="609"/>
      <c r="DE69" s="609"/>
      <c r="DF69" s="609"/>
      <c r="DG69" s="609"/>
      <c r="DH69" s="609"/>
      <c r="DI69" s="609"/>
      <c r="DJ69" s="609"/>
      <c r="DK69" s="609"/>
      <c r="DL69" s="609"/>
      <c r="DM69" s="609"/>
      <c r="DN69" s="115"/>
      <c r="DO69" s="274"/>
      <c r="DQ69" s="51"/>
      <c r="DR69" s="51"/>
      <c r="DW69" s="34"/>
      <c r="DX69" s="34"/>
      <c r="DY69" s="34"/>
      <c r="DZ69" s="34"/>
      <c r="EA69" s="34"/>
      <c r="EB69" s="35"/>
      <c r="EC69" s="35"/>
      <c r="ED69" s="35"/>
      <c r="EE69" s="35"/>
      <c r="EF69" s="35"/>
      <c r="EG69" s="35"/>
    </row>
    <row r="70" spans="1:137" s="60" customFormat="1" ht="13.05" customHeight="1" x14ac:dyDescent="0.25">
      <c r="A70" s="26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247"/>
      <c r="DP70" s="36"/>
      <c r="DQ70" s="51"/>
      <c r="DR70" s="51"/>
    </row>
    <row r="71" spans="1:137" s="60" customFormat="1" ht="13.05" customHeight="1" x14ac:dyDescent="0.25">
      <c r="A71" s="24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6"/>
      <c r="N71" s="36"/>
      <c r="O71" s="36"/>
      <c r="P71" s="36"/>
      <c r="Q71" s="612"/>
      <c r="R71" s="612"/>
      <c r="S71" s="612"/>
      <c r="T71" s="612"/>
      <c r="U71" s="612"/>
      <c r="V71" s="612"/>
      <c r="W71" s="612"/>
      <c r="X71" s="612"/>
      <c r="Y71" s="612"/>
      <c r="Z71" s="612"/>
      <c r="AA71" s="36"/>
      <c r="AB71" s="36"/>
      <c r="AC71" s="36"/>
      <c r="AD71" s="613"/>
      <c r="AE71" s="613"/>
      <c r="AF71" s="613"/>
      <c r="AG71" s="613"/>
      <c r="AH71" s="613"/>
      <c r="AI71" s="613"/>
      <c r="AJ71" s="613"/>
      <c r="AK71" s="613"/>
      <c r="AL71" s="613"/>
      <c r="AM71" s="613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247"/>
      <c r="DP71" s="36"/>
      <c r="DQ71" s="51"/>
      <c r="DR71" s="51"/>
    </row>
    <row r="72" spans="1:137" s="60" customFormat="1" ht="13.05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4">
        <v>0</v>
      </c>
      <c r="AE72" s="34"/>
      <c r="AF72" s="34"/>
      <c r="AG72" s="34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51"/>
      <c r="DR72" s="51"/>
    </row>
    <row r="73" spans="1:137" s="60" customFormat="1" ht="13.05" hidden="1" customHeight="1" x14ac:dyDescent="0.25">
      <c r="B73" s="39"/>
      <c r="C73" s="36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6"/>
      <c r="O73" s="36"/>
      <c r="P73" s="36"/>
      <c r="Q73" s="612"/>
      <c r="R73" s="612"/>
      <c r="S73" s="612"/>
      <c r="T73" s="612"/>
      <c r="U73" s="612"/>
      <c r="V73" s="612"/>
      <c r="W73" s="612"/>
      <c r="X73" s="612"/>
      <c r="Y73" s="612"/>
      <c r="Z73" s="612"/>
      <c r="AA73" s="36"/>
      <c r="AB73" s="36"/>
      <c r="AC73" s="36">
        <v>0</v>
      </c>
      <c r="AI73" s="612"/>
      <c r="AJ73" s="612"/>
      <c r="AK73" s="612"/>
      <c r="AL73" s="612"/>
      <c r="AM73" s="612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51"/>
      <c r="DR73" s="51"/>
    </row>
    <row r="74" spans="1:137" s="60" customFormat="1" ht="13.05" hidden="1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4">
        <v>0</v>
      </c>
      <c r="AE74" s="34"/>
      <c r="AF74" s="34"/>
      <c r="AG74" s="34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612">
        <v>99</v>
      </c>
      <c r="AY74" s="612"/>
      <c r="AZ74" s="612"/>
      <c r="BA74" s="612"/>
      <c r="BB74" s="612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</row>
    <row r="75" spans="1:137" s="60" customFormat="1" ht="13.05" hidden="1" customHeight="1" x14ac:dyDescent="0.25">
      <c r="A75" s="36"/>
      <c r="B75" s="39" t="s">
        <v>27</v>
      </c>
      <c r="C75" s="36"/>
      <c r="D75" s="39"/>
      <c r="E75" s="39"/>
      <c r="F75" s="39"/>
      <c r="G75" s="39"/>
      <c r="H75" s="39"/>
      <c r="I75" s="39"/>
      <c r="J75" s="39"/>
      <c r="K75" s="39"/>
      <c r="L75" s="47"/>
      <c r="M75" s="47"/>
      <c r="N75" s="36"/>
      <c r="O75" s="36"/>
      <c r="P75" s="36"/>
      <c r="Q75" s="612">
        <f>IF(Profissao="Mago",(INT*2+5)*Estagio,0)+IF(Profissao="Rastreador",(PER*2+5)*Estagio,0)+IF(OR(Profissao="Sacerdote",Profissao="Bardo"),(CAR*2+5)*Estagio,0)</f>
        <v>0</v>
      </c>
      <c r="R75" s="612"/>
      <c r="S75" s="612"/>
      <c r="T75" s="612"/>
      <c r="U75" s="612"/>
      <c r="V75" s="612"/>
      <c r="W75" s="612"/>
      <c r="X75" s="612"/>
      <c r="Y75" s="612"/>
      <c r="Z75" s="612"/>
      <c r="AA75" s="36"/>
      <c r="AB75" s="36"/>
      <c r="AC75" s="36"/>
      <c r="AD75" s="612">
        <f>Magias!AU4</f>
        <v>0</v>
      </c>
      <c r="AE75" s="612"/>
      <c r="AF75" s="612"/>
      <c r="AG75" s="612"/>
      <c r="AH75" s="612"/>
      <c r="AI75" s="612"/>
      <c r="AJ75" s="612"/>
      <c r="AK75" s="612"/>
      <c r="AL75" s="612"/>
      <c r="AM75" s="612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</row>
    <row r="76" spans="1:137" ht="13.05" hidden="1" customHeight="1" x14ac:dyDescent="0.25">
      <c r="AH76" s="61"/>
    </row>
    <row r="77" spans="1:137" ht="13.05" hidden="1" customHeight="1" thickBot="1" x14ac:dyDescent="0.3">
      <c r="B77" s="36" t="s">
        <v>201</v>
      </c>
      <c r="Q77" s="612">
        <f>Características!E17</f>
        <v>15</v>
      </c>
      <c r="R77" s="612"/>
      <c r="S77" s="612"/>
      <c r="T77" s="612"/>
      <c r="U77" s="612"/>
      <c r="V77" s="612"/>
      <c r="W77" s="612"/>
      <c r="X77" s="612"/>
      <c r="Y77" s="612"/>
      <c r="Z77" s="612"/>
      <c r="AC77" s="39"/>
      <c r="AD77" s="613" t="e">
        <f>Características!E34</f>
        <v>#N/A</v>
      </c>
      <c r="AE77" s="613"/>
      <c r="AF77" s="613"/>
      <c r="AG77" s="613"/>
      <c r="AH77" s="613"/>
      <c r="AI77" s="613"/>
      <c r="AJ77" s="613"/>
      <c r="AK77" s="613"/>
      <c r="AL77" s="613"/>
      <c r="AM77" s="613"/>
    </row>
    <row r="78" spans="1:137" ht="13.05" hidden="1" customHeight="1" x14ac:dyDescent="0.25">
      <c r="DW78" s="62" t="s">
        <v>38</v>
      </c>
      <c r="DX78" s="62" t="s">
        <v>55</v>
      </c>
      <c r="DY78" s="63" t="s">
        <v>418</v>
      </c>
    </row>
    <row r="79" spans="1:137" ht="13.05" hidden="1" customHeight="1" x14ac:dyDescent="0.25">
      <c r="B79" s="552" t="s">
        <v>64</v>
      </c>
      <c r="C79" s="552"/>
      <c r="D79" s="552"/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552"/>
      <c r="Q79" s="552"/>
      <c r="R79" s="552"/>
      <c r="S79" s="552"/>
      <c r="T79" s="552"/>
      <c r="U79" s="552"/>
      <c r="V79" s="552"/>
      <c r="W79" s="552"/>
      <c r="X79" s="552"/>
      <c r="Y79" s="552"/>
      <c r="Z79" s="552"/>
      <c r="AA79" s="552"/>
      <c r="AB79" s="552"/>
      <c r="AC79" s="552"/>
      <c r="AD79" s="552"/>
      <c r="AE79" s="552"/>
      <c r="AF79" s="552"/>
      <c r="AG79" s="552"/>
      <c r="AH79" s="552"/>
      <c r="AI79" s="552"/>
      <c r="AJ79" s="552"/>
      <c r="AK79" s="552"/>
      <c r="AL79" s="552"/>
      <c r="AM79" s="552"/>
      <c r="DW79" s="64" t="s">
        <v>68</v>
      </c>
      <c r="DX79" s="65">
        <v>18</v>
      </c>
      <c r="DY79" s="66">
        <v>15</v>
      </c>
    </row>
    <row r="80" spans="1:137" ht="13.05" hidden="1" customHeight="1" x14ac:dyDescent="0.25">
      <c r="DW80" s="67" t="s">
        <v>69</v>
      </c>
      <c r="DX80" s="68">
        <v>17</v>
      </c>
      <c r="DY80" s="69">
        <v>13</v>
      </c>
    </row>
    <row r="81" spans="2:151" ht="13.05" hidden="1" customHeight="1" x14ac:dyDescent="0.25">
      <c r="B81" s="612" t="s">
        <v>65</v>
      </c>
      <c r="C81" s="612"/>
      <c r="D81" s="612"/>
      <c r="E81" s="612"/>
      <c r="F81" s="612"/>
      <c r="G81" s="612"/>
      <c r="H81" s="612"/>
      <c r="I81" s="612"/>
      <c r="J81" s="612"/>
      <c r="K81" s="612"/>
      <c r="L81" s="39"/>
      <c r="M81" s="39"/>
      <c r="N81" s="39"/>
      <c r="O81" s="39"/>
      <c r="P81" s="39"/>
      <c r="Q81" s="612" t="s">
        <v>37</v>
      </c>
      <c r="R81" s="612"/>
      <c r="S81" s="612"/>
      <c r="T81" s="612"/>
      <c r="U81" s="612"/>
      <c r="V81" s="612"/>
      <c r="W81" s="612"/>
      <c r="X81" s="612"/>
      <c r="Y81" s="612"/>
      <c r="Z81" s="612"/>
      <c r="AA81" s="39"/>
      <c r="AB81" s="39"/>
      <c r="AC81" s="39"/>
      <c r="AD81" s="612" t="s">
        <v>36</v>
      </c>
      <c r="AE81" s="612"/>
      <c r="AF81" s="612"/>
      <c r="AG81" s="612"/>
      <c r="AH81" s="612"/>
      <c r="AI81" s="612"/>
      <c r="AJ81" s="612"/>
      <c r="AK81" s="612"/>
      <c r="AL81" s="612"/>
      <c r="AM81" s="612"/>
      <c r="DW81" s="70" t="s">
        <v>70</v>
      </c>
      <c r="DX81" s="71">
        <v>16</v>
      </c>
      <c r="DY81" s="72">
        <v>12</v>
      </c>
    </row>
    <row r="82" spans="2:151" ht="13.05" hidden="1" customHeight="1" x14ac:dyDescent="0.25">
      <c r="DW82" s="67" t="s">
        <v>71</v>
      </c>
      <c r="DX82" s="68">
        <v>16</v>
      </c>
      <c r="DY82" s="69">
        <v>12</v>
      </c>
    </row>
    <row r="83" spans="2:151" ht="13.05" hidden="1" customHeight="1" x14ac:dyDescent="0.25">
      <c r="B83" s="551"/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551"/>
      <c r="Q83" s="551"/>
      <c r="R83" s="551"/>
      <c r="S83" s="551"/>
      <c r="T83" s="551"/>
      <c r="U83" s="551"/>
      <c r="V83" s="551"/>
      <c r="W83" s="551"/>
      <c r="X83" s="551"/>
      <c r="Y83" s="551"/>
      <c r="Z83" s="551"/>
      <c r="AA83" s="551"/>
      <c r="AB83" s="551"/>
      <c r="AC83" s="551"/>
      <c r="AD83" s="39"/>
      <c r="AE83" s="551"/>
      <c r="AF83" s="551"/>
      <c r="AG83" s="551"/>
      <c r="AH83" s="551"/>
      <c r="AI83" s="551"/>
      <c r="AJ83" s="551"/>
      <c r="AK83" s="551"/>
      <c r="AL83" s="551"/>
      <c r="AM83" s="551"/>
      <c r="AN83" s="551"/>
      <c r="AO83" s="551"/>
      <c r="AP83" s="551"/>
      <c r="AQ83" s="551"/>
      <c r="AR83" s="551"/>
      <c r="AS83" s="551"/>
      <c r="AT83" s="551"/>
      <c r="AU83" s="551"/>
      <c r="AV83" s="551"/>
      <c r="AW83" s="551"/>
      <c r="AX83" s="551"/>
      <c r="AY83" s="551"/>
      <c r="AZ83" s="551"/>
      <c r="BA83" s="551"/>
      <c r="BB83" s="551"/>
      <c r="BC83" s="551"/>
      <c r="BD83" s="551"/>
      <c r="BE83" s="551"/>
      <c r="BF83" s="551"/>
      <c r="BG83" s="39"/>
      <c r="BH83" s="240"/>
      <c r="BI83" s="240"/>
      <c r="BJ83" s="240"/>
      <c r="BK83" s="240"/>
      <c r="BL83" s="240"/>
      <c r="BM83" s="240"/>
      <c r="BN83" s="240"/>
      <c r="BO83" s="240"/>
      <c r="BP83" s="240"/>
      <c r="BQ83" s="240"/>
      <c r="BR83" s="240"/>
      <c r="BS83" s="240"/>
      <c r="BT83" s="240"/>
      <c r="BU83" s="240"/>
      <c r="BV83" s="240"/>
      <c r="BW83" s="240"/>
      <c r="BX83" s="240"/>
      <c r="BY83" s="240"/>
      <c r="BZ83" s="240"/>
      <c r="CA83" s="240"/>
      <c r="CB83" s="240"/>
      <c r="CC83" s="240"/>
      <c r="CD83" s="240"/>
      <c r="CE83" s="240"/>
      <c r="CF83" s="240"/>
      <c r="CG83" s="240"/>
      <c r="CH83" s="240"/>
      <c r="CI83" s="240"/>
      <c r="CJ83" s="240"/>
      <c r="DW83" s="70" t="s">
        <v>72</v>
      </c>
      <c r="DX83" s="71">
        <v>14</v>
      </c>
      <c r="DY83" s="72">
        <v>12</v>
      </c>
    </row>
    <row r="84" spans="2:151" ht="13.05" hidden="1" customHeight="1" x14ac:dyDescent="0.25">
      <c r="DW84" s="67" t="s">
        <v>73</v>
      </c>
      <c r="DX84" s="68">
        <v>12</v>
      </c>
      <c r="DY84" s="69">
        <v>11</v>
      </c>
    </row>
    <row r="85" spans="2:151" ht="13.05" hidden="1" customHeight="1" thickBot="1" x14ac:dyDescent="0.3"/>
    <row r="86" spans="2:151" ht="13.05" hidden="1" customHeight="1" thickBot="1" x14ac:dyDescent="0.3">
      <c r="DW86" s="73" t="s">
        <v>79</v>
      </c>
      <c r="DX86" s="74" t="s">
        <v>80</v>
      </c>
      <c r="DY86" s="74" t="s">
        <v>81</v>
      </c>
      <c r="DZ86" s="74" t="s">
        <v>82</v>
      </c>
      <c r="EA86" s="74" t="s">
        <v>83</v>
      </c>
      <c r="EB86" s="75"/>
      <c r="EC86" s="76"/>
      <c r="ED86" s="76"/>
      <c r="EE86" s="77" t="s">
        <v>18</v>
      </c>
      <c r="EF86" s="77" t="s">
        <v>113</v>
      </c>
      <c r="EG86" s="77" t="s">
        <v>114</v>
      </c>
      <c r="EH86" s="77" t="s">
        <v>115</v>
      </c>
      <c r="EI86" s="77" t="s">
        <v>94</v>
      </c>
      <c r="EJ86" s="77" t="s">
        <v>116</v>
      </c>
      <c r="EK86" s="77" t="s">
        <v>117</v>
      </c>
      <c r="EL86" s="77" t="s">
        <v>118</v>
      </c>
      <c r="EM86" s="77" t="s">
        <v>119</v>
      </c>
      <c r="EN86" s="77" t="s">
        <v>548</v>
      </c>
      <c r="EO86" s="77" t="s">
        <v>549</v>
      </c>
      <c r="EP86" s="77" t="s">
        <v>550</v>
      </c>
      <c r="EQ86" s="77">
        <v>100</v>
      </c>
      <c r="ER86" s="77">
        <v>75</v>
      </c>
      <c r="ES86" s="77">
        <v>50</v>
      </c>
      <c r="ET86" s="205">
        <v>25</v>
      </c>
      <c r="EU86" s="206" t="s">
        <v>516</v>
      </c>
    </row>
    <row r="87" spans="2:151" ht="13.05" customHeight="1" x14ac:dyDescent="0.25">
      <c r="DW87" s="78" t="s">
        <v>84</v>
      </c>
      <c r="DX87" s="66" t="s">
        <v>85</v>
      </c>
      <c r="DY87" s="66" t="s">
        <v>86</v>
      </c>
      <c r="DZ87" s="66">
        <v>0</v>
      </c>
      <c r="EA87" s="66">
        <v>0</v>
      </c>
      <c r="EB87" s="50"/>
      <c r="EC87" s="79"/>
      <c r="ED87" s="79"/>
      <c r="EE87" s="213" t="s">
        <v>551</v>
      </c>
      <c r="EF87" s="214" t="s">
        <v>552</v>
      </c>
      <c r="EG87" s="215" t="s">
        <v>553</v>
      </c>
      <c r="EH87" s="216" t="s">
        <v>554</v>
      </c>
      <c r="EI87" s="214" t="s">
        <v>555</v>
      </c>
      <c r="EJ87" s="214" t="s">
        <v>556</v>
      </c>
      <c r="EK87" s="214" t="s">
        <v>556</v>
      </c>
      <c r="EL87" s="214" t="s">
        <v>556</v>
      </c>
      <c r="EM87" s="216" t="s">
        <v>557</v>
      </c>
      <c r="EN87" s="214" t="s">
        <v>558</v>
      </c>
      <c r="EO87" s="214" t="s">
        <v>559</v>
      </c>
      <c r="EP87" s="214" t="s">
        <v>560</v>
      </c>
      <c r="EQ87" s="216" t="s">
        <v>561</v>
      </c>
      <c r="ER87" s="216" t="s">
        <v>562</v>
      </c>
      <c r="ES87" s="216">
        <v>8</v>
      </c>
      <c r="ET87" s="216" t="s">
        <v>563</v>
      </c>
      <c r="EU87" s="211" t="s">
        <v>661</v>
      </c>
    </row>
    <row r="88" spans="2:151" ht="13.05" customHeight="1" x14ac:dyDescent="0.25">
      <c r="DW88" s="81" t="s">
        <v>87</v>
      </c>
      <c r="DX88" s="69" t="s">
        <v>85</v>
      </c>
      <c r="DY88" s="69" t="s">
        <v>86</v>
      </c>
      <c r="DZ88" s="69">
        <v>1</v>
      </c>
      <c r="EA88" s="69">
        <v>8</v>
      </c>
      <c r="EB88" s="82"/>
      <c r="EC88" s="79"/>
      <c r="ED88" s="79"/>
      <c r="EE88" s="213" t="s">
        <v>564</v>
      </c>
      <c r="EF88" s="214" t="s">
        <v>565</v>
      </c>
      <c r="EG88" s="215" t="s">
        <v>566</v>
      </c>
      <c r="EH88" s="216" t="s">
        <v>567</v>
      </c>
      <c r="EI88" s="214" t="s">
        <v>556</v>
      </c>
      <c r="EJ88" s="214" t="s">
        <v>556</v>
      </c>
      <c r="EK88" s="214" t="s">
        <v>556</v>
      </c>
      <c r="EL88" s="214" t="s">
        <v>556</v>
      </c>
      <c r="EM88" s="216" t="s">
        <v>568</v>
      </c>
      <c r="EN88" s="214" t="s">
        <v>557</v>
      </c>
      <c r="EO88" s="214" t="s">
        <v>559</v>
      </c>
      <c r="EP88" s="214" t="s">
        <v>569</v>
      </c>
      <c r="EQ88" s="216" t="s">
        <v>570</v>
      </c>
      <c r="ER88" s="216" t="s">
        <v>571</v>
      </c>
      <c r="ES88" s="216" t="s">
        <v>572</v>
      </c>
      <c r="ET88" s="216" t="s">
        <v>573</v>
      </c>
      <c r="EU88" s="211" t="s">
        <v>661</v>
      </c>
    </row>
    <row r="89" spans="2:151" ht="13.05" customHeight="1" x14ac:dyDescent="0.25">
      <c r="DW89" s="78" t="s">
        <v>88</v>
      </c>
      <c r="DX89" s="66" t="s">
        <v>89</v>
      </c>
      <c r="DY89" s="66" t="s">
        <v>90</v>
      </c>
      <c r="DZ89" s="66">
        <v>2</v>
      </c>
      <c r="EA89" s="66">
        <v>12</v>
      </c>
      <c r="EB89" s="50"/>
      <c r="EC89" s="79"/>
      <c r="ED89" s="79"/>
      <c r="EE89" s="213" t="s">
        <v>574</v>
      </c>
      <c r="EF89" s="214" t="s">
        <v>565</v>
      </c>
      <c r="EG89" s="215" t="s">
        <v>566</v>
      </c>
      <c r="EH89" s="216" t="s">
        <v>575</v>
      </c>
      <c r="EI89" s="214" t="s">
        <v>555</v>
      </c>
      <c r="EJ89" s="214" t="s">
        <v>555</v>
      </c>
      <c r="EK89" s="214" t="s">
        <v>556</v>
      </c>
      <c r="EL89" s="214" t="s">
        <v>556</v>
      </c>
      <c r="EM89" s="216" t="s">
        <v>576</v>
      </c>
      <c r="EN89" s="214">
        <v>-2</v>
      </c>
      <c r="EO89" s="214" t="s">
        <v>569</v>
      </c>
      <c r="EP89" s="214" t="s">
        <v>558</v>
      </c>
      <c r="EQ89" s="216" t="s">
        <v>577</v>
      </c>
      <c r="ER89" s="216">
        <v>18</v>
      </c>
      <c r="ES89" s="216" t="s">
        <v>562</v>
      </c>
      <c r="ET89" s="216" t="s">
        <v>578</v>
      </c>
      <c r="EU89" s="211" t="s">
        <v>661</v>
      </c>
    </row>
    <row r="90" spans="2:151" ht="13.05" customHeight="1" x14ac:dyDescent="0.25">
      <c r="DW90" s="81" t="s">
        <v>91</v>
      </c>
      <c r="DX90" s="69" t="s">
        <v>89</v>
      </c>
      <c r="DY90" s="69" t="s">
        <v>90</v>
      </c>
      <c r="DZ90" s="69">
        <v>1</v>
      </c>
      <c r="EA90" s="69">
        <v>18</v>
      </c>
      <c r="EB90" s="82"/>
      <c r="EC90" s="79"/>
      <c r="ED90" s="79"/>
      <c r="EE90" s="213" t="s">
        <v>579</v>
      </c>
      <c r="EF90" s="214" t="s">
        <v>552</v>
      </c>
      <c r="EG90" s="215" t="s">
        <v>553</v>
      </c>
      <c r="EH90" s="216" t="s">
        <v>580</v>
      </c>
      <c r="EI90" s="214" t="s">
        <v>556</v>
      </c>
      <c r="EJ90" s="214" t="s">
        <v>556</v>
      </c>
      <c r="EK90" s="214" t="s">
        <v>556</v>
      </c>
      <c r="EL90" s="214" t="s">
        <v>556</v>
      </c>
      <c r="EM90" s="216" t="s">
        <v>557</v>
      </c>
      <c r="EN90" s="214" t="s">
        <v>581</v>
      </c>
      <c r="EO90" s="214" t="s">
        <v>568</v>
      </c>
      <c r="EP90" s="214" t="s">
        <v>560</v>
      </c>
      <c r="EQ90" s="216" t="s">
        <v>562</v>
      </c>
      <c r="ER90" s="216" t="s">
        <v>582</v>
      </c>
      <c r="ES90" s="216" t="s">
        <v>578</v>
      </c>
      <c r="ET90" s="216" t="s">
        <v>581</v>
      </c>
      <c r="EU90" s="211" t="s">
        <v>661</v>
      </c>
    </row>
    <row r="91" spans="2:151" ht="13.05" customHeight="1" x14ac:dyDescent="0.25">
      <c r="DW91" s="78" t="s">
        <v>92</v>
      </c>
      <c r="DX91" s="69" t="s">
        <v>89</v>
      </c>
      <c r="DY91" s="69" t="s">
        <v>90</v>
      </c>
      <c r="DZ91" s="66">
        <v>2</v>
      </c>
      <c r="EA91" s="66">
        <v>22</v>
      </c>
      <c r="EB91" s="50"/>
      <c r="EC91" s="79"/>
      <c r="ED91" s="79"/>
      <c r="EE91" s="213" t="s">
        <v>583</v>
      </c>
      <c r="EF91" s="214" t="s">
        <v>584</v>
      </c>
      <c r="EG91" s="215" t="s">
        <v>553</v>
      </c>
      <c r="EH91" s="215" t="s">
        <v>585</v>
      </c>
      <c r="EI91" s="214" t="s">
        <v>586</v>
      </c>
      <c r="EJ91" s="214" t="s">
        <v>586</v>
      </c>
      <c r="EK91" s="214" t="s">
        <v>586</v>
      </c>
      <c r="EL91" s="214" t="s">
        <v>586</v>
      </c>
      <c r="EM91" s="216" t="s">
        <v>557</v>
      </c>
      <c r="EN91" s="214" t="s">
        <v>569</v>
      </c>
      <c r="EO91" s="214" t="s">
        <v>559</v>
      </c>
      <c r="EP91" s="214" t="s">
        <v>587</v>
      </c>
      <c r="EQ91" s="216" t="s">
        <v>562</v>
      </c>
      <c r="ER91" s="216" t="s">
        <v>582</v>
      </c>
      <c r="ES91" s="216" t="s">
        <v>578</v>
      </c>
      <c r="ET91" s="216" t="s">
        <v>581</v>
      </c>
      <c r="EU91" s="211" t="s">
        <v>517</v>
      </c>
    </row>
    <row r="92" spans="2:151" ht="13.05" customHeight="1" x14ac:dyDescent="0.25">
      <c r="DW92" s="81" t="s">
        <v>95</v>
      </c>
      <c r="DX92" s="69" t="s">
        <v>93</v>
      </c>
      <c r="DY92" s="69" t="s">
        <v>94</v>
      </c>
      <c r="DZ92" s="69">
        <v>1</v>
      </c>
      <c r="EA92" s="69">
        <v>28</v>
      </c>
      <c r="EB92" s="82"/>
      <c r="EC92" s="79"/>
      <c r="ED92" s="79"/>
      <c r="EE92" s="213" t="s">
        <v>588</v>
      </c>
      <c r="EF92" s="214" t="s">
        <v>589</v>
      </c>
      <c r="EG92" s="215" t="s">
        <v>566</v>
      </c>
      <c r="EH92" s="215" t="s">
        <v>590</v>
      </c>
      <c r="EI92" s="214" t="s">
        <v>555</v>
      </c>
      <c r="EJ92" s="214" t="s">
        <v>555</v>
      </c>
      <c r="EK92" s="214" t="s">
        <v>555</v>
      </c>
      <c r="EL92" s="214" t="s">
        <v>556</v>
      </c>
      <c r="EM92" s="216" t="s">
        <v>576</v>
      </c>
      <c r="EN92" s="214">
        <v>-2</v>
      </c>
      <c r="EO92" s="214" t="s">
        <v>558</v>
      </c>
      <c r="EP92" s="214" t="s">
        <v>569</v>
      </c>
      <c r="EQ92" s="216" t="s">
        <v>577</v>
      </c>
      <c r="ER92" s="216">
        <v>18</v>
      </c>
      <c r="ES92" s="216" t="s">
        <v>562</v>
      </c>
      <c r="ET92" s="216" t="s">
        <v>578</v>
      </c>
      <c r="EU92" s="211" t="s">
        <v>660</v>
      </c>
    </row>
    <row r="93" spans="2:151" ht="13.05" customHeight="1" x14ac:dyDescent="0.25">
      <c r="DW93" s="81" t="s">
        <v>519</v>
      </c>
      <c r="DX93" s="69" t="s">
        <v>93</v>
      </c>
      <c r="DY93" s="69" t="s">
        <v>94</v>
      </c>
      <c r="DZ93" s="69">
        <v>2</v>
      </c>
      <c r="EA93" s="69">
        <v>32</v>
      </c>
      <c r="EB93" s="82"/>
      <c r="EC93" s="79"/>
      <c r="ED93" s="79"/>
      <c r="EE93" s="213" t="s">
        <v>591</v>
      </c>
      <c r="EF93" s="214" t="s">
        <v>592</v>
      </c>
      <c r="EG93" s="215" t="s">
        <v>566</v>
      </c>
      <c r="EH93" s="223" t="s">
        <v>659</v>
      </c>
      <c r="EI93" s="214" t="s">
        <v>556</v>
      </c>
      <c r="EJ93" s="214" t="s">
        <v>586</v>
      </c>
      <c r="EK93" s="214" t="s">
        <v>586</v>
      </c>
      <c r="EL93" s="214" t="s">
        <v>586</v>
      </c>
      <c r="EM93" s="216" t="s">
        <v>568</v>
      </c>
      <c r="EN93" s="214" t="s">
        <v>557</v>
      </c>
      <c r="EO93" s="214" t="s">
        <v>559</v>
      </c>
      <c r="EP93" s="214" t="s">
        <v>569</v>
      </c>
      <c r="EQ93" s="216" t="s">
        <v>570</v>
      </c>
      <c r="ER93" s="216" t="s">
        <v>571</v>
      </c>
      <c r="ES93" s="216" t="s">
        <v>572</v>
      </c>
      <c r="ET93" s="216" t="s">
        <v>593</v>
      </c>
      <c r="EU93" s="212" t="s">
        <v>661</v>
      </c>
    </row>
    <row r="94" spans="2:151" ht="13.05" customHeight="1" x14ac:dyDescent="0.25">
      <c r="DW94" s="78" t="s">
        <v>96</v>
      </c>
      <c r="DX94" s="66" t="s">
        <v>97</v>
      </c>
      <c r="DY94" s="66" t="s">
        <v>97</v>
      </c>
      <c r="DZ94" s="66">
        <v>1</v>
      </c>
      <c r="EA94" s="66">
        <v>4</v>
      </c>
      <c r="EB94" s="50"/>
      <c r="EC94" s="79"/>
      <c r="ED94" s="79"/>
      <c r="EE94" s="213" t="s">
        <v>594</v>
      </c>
      <c r="EF94" s="214" t="s">
        <v>592</v>
      </c>
      <c r="EG94" s="215" t="s">
        <v>566</v>
      </c>
      <c r="EH94" s="216" t="s">
        <v>595</v>
      </c>
      <c r="EI94" s="214" t="s">
        <v>556</v>
      </c>
      <c r="EJ94" s="214" t="s">
        <v>556</v>
      </c>
      <c r="EK94" s="214" t="s">
        <v>556</v>
      </c>
      <c r="EL94" s="214" t="s">
        <v>556</v>
      </c>
      <c r="EM94" s="216" t="s">
        <v>576</v>
      </c>
      <c r="EN94" s="214" t="s">
        <v>596</v>
      </c>
      <c r="EO94" s="214" t="s">
        <v>559</v>
      </c>
      <c r="EP94" s="214" t="s">
        <v>558</v>
      </c>
      <c r="EQ94" s="216" t="s">
        <v>577</v>
      </c>
      <c r="ER94" s="216">
        <v>18</v>
      </c>
      <c r="ES94" s="216" t="s">
        <v>562</v>
      </c>
      <c r="ET94" s="216" t="s">
        <v>578</v>
      </c>
      <c r="EU94" s="212" t="s">
        <v>661</v>
      </c>
    </row>
    <row r="95" spans="2:151" ht="13.05" customHeight="1" x14ac:dyDescent="0.25">
      <c r="DW95" s="78" t="s">
        <v>520</v>
      </c>
      <c r="DX95" s="66" t="s">
        <v>97</v>
      </c>
      <c r="DY95" s="66" t="s">
        <v>97</v>
      </c>
      <c r="DZ95" s="66">
        <v>1</v>
      </c>
      <c r="EA95" s="66">
        <v>8</v>
      </c>
      <c r="EB95" s="50"/>
      <c r="EC95" s="79"/>
      <c r="ED95" s="79"/>
      <c r="EE95" s="217" t="s">
        <v>597</v>
      </c>
      <c r="EF95" s="214" t="s">
        <v>598</v>
      </c>
      <c r="EG95" s="215" t="s">
        <v>568</v>
      </c>
      <c r="EH95" s="218" t="s">
        <v>599</v>
      </c>
      <c r="EI95" s="219" t="s">
        <v>586</v>
      </c>
      <c r="EJ95" s="219" t="s">
        <v>586</v>
      </c>
      <c r="EK95" s="219" t="s">
        <v>586</v>
      </c>
      <c r="EL95" s="219" t="s">
        <v>586</v>
      </c>
      <c r="EM95" s="220" t="s">
        <v>600</v>
      </c>
      <c r="EN95" s="219" t="s">
        <v>555</v>
      </c>
      <c r="EO95" s="219" t="s">
        <v>555</v>
      </c>
      <c r="EP95" s="219" t="s">
        <v>555</v>
      </c>
      <c r="EQ95" s="220" t="s">
        <v>555</v>
      </c>
      <c r="ER95" s="220" t="s">
        <v>555</v>
      </c>
      <c r="ES95" s="220" t="s">
        <v>555</v>
      </c>
      <c r="ET95" s="220" t="s">
        <v>555</v>
      </c>
      <c r="EU95" s="212" t="s">
        <v>517</v>
      </c>
    </row>
    <row r="96" spans="2:151" ht="13.05" customHeight="1" x14ac:dyDescent="0.25">
      <c r="DW96" s="81" t="s">
        <v>98</v>
      </c>
      <c r="DX96" s="69" t="s">
        <v>97</v>
      </c>
      <c r="DY96" s="69" t="s">
        <v>97</v>
      </c>
      <c r="DZ96" s="69">
        <v>2</v>
      </c>
      <c r="EA96" s="69">
        <v>12</v>
      </c>
      <c r="EB96" s="82"/>
      <c r="EC96" s="79"/>
      <c r="ED96" s="79"/>
      <c r="EE96" s="217" t="s">
        <v>601</v>
      </c>
      <c r="EF96" s="214" t="s">
        <v>602</v>
      </c>
      <c r="EG96" s="215" t="s">
        <v>603</v>
      </c>
      <c r="EH96" s="215" t="s">
        <v>604</v>
      </c>
      <c r="EI96" s="214" t="s">
        <v>586</v>
      </c>
      <c r="EJ96" s="214" t="s">
        <v>586</v>
      </c>
      <c r="EK96" s="214" t="s">
        <v>586</v>
      </c>
      <c r="EL96" s="214" t="s">
        <v>586</v>
      </c>
      <c r="EM96" s="216" t="s">
        <v>600</v>
      </c>
      <c r="EN96" s="219" t="s">
        <v>576</v>
      </c>
      <c r="EO96" s="219" t="s">
        <v>557</v>
      </c>
      <c r="EP96" s="214" t="s">
        <v>560</v>
      </c>
      <c r="EQ96" s="216" t="s">
        <v>563</v>
      </c>
      <c r="ER96" s="216" t="s">
        <v>581</v>
      </c>
      <c r="ES96" s="220" t="s">
        <v>576</v>
      </c>
      <c r="ET96" s="220" t="s">
        <v>568</v>
      </c>
      <c r="EU96" s="212" t="s">
        <v>661</v>
      </c>
    </row>
    <row r="97" spans="127:151" ht="13.05" customHeight="1" x14ac:dyDescent="0.25">
      <c r="DW97" s="78" t="s">
        <v>99</v>
      </c>
      <c r="DX97" s="66" t="s">
        <v>97</v>
      </c>
      <c r="DY97" s="66" t="s">
        <v>97</v>
      </c>
      <c r="DZ97" s="66" t="s">
        <v>97</v>
      </c>
      <c r="EA97" s="66">
        <v>2</v>
      </c>
      <c r="EB97" s="50"/>
      <c r="EC97" s="79"/>
      <c r="EE97" s="217" t="s">
        <v>605</v>
      </c>
      <c r="EF97" s="214" t="s">
        <v>602</v>
      </c>
      <c r="EG97" s="215" t="s">
        <v>603</v>
      </c>
      <c r="EH97" s="215" t="s">
        <v>604</v>
      </c>
      <c r="EI97" s="214" t="s">
        <v>586</v>
      </c>
      <c r="EJ97" s="214" t="s">
        <v>586</v>
      </c>
      <c r="EK97" s="214" t="s">
        <v>586</v>
      </c>
      <c r="EL97" s="214" t="s">
        <v>586</v>
      </c>
      <c r="EM97" s="216" t="s">
        <v>600</v>
      </c>
      <c r="EN97" s="214" t="s">
        <v>576</v>
      </c>
      <c r="EO97" s="214" t="s">
        <v>557</v>
      </c>
      <c r="EP97" s="214" t="s">
        <v>560</v>
      </c>
      <c r="EQ97" s="216">
        <v>8</v>
      </c>
      <c r="ER97" s="216" t="s">
        <v>578</v>
      </c>
      <c r="ES97" s="216" t="s">
        <v>563</v>
      </c>
      <c r="ET97" s="216" t="s">
        <v>576</v>
      </c>
      <c r="EU97" s="211" t="s">
        <v>661</v>
      </c>
    </row>
    <row r="98" spans="127:151" ht="13.05" customHeight="1" x14ac:dyDescent="0.25">
      <c r="DW98" s="81" t="s">
        <v>100</v>
      </c>
      <c r="DX98" s="69" t="s">
        <v>97</v>
      </c>
      <c r="DY98" s="69" t="s">
        <v>97</v>
      </c>
      <c r="DZ98" s="69" t="s">
        <v>97</v>
      </c>
      <c r="EA98" s="69">
        <v>4</v>
      </c>
      <c r="EB98" s="82"/>
      <c r="EC98" s="79"/>
      <c r="ED98" s="48"/>
      <c r="EE98" s="213" t="s">
        <v>606</v>
      </c>
      <c r="EF98" s="214" t="s">
        <v>607</v>
      </c>
      <c r="EG98" s="215" t="s">
        <v>603</v>
      </c>
      <c r="EH98" s="215" t="s">
        <v>590</v>
      </c>
      <c r="EI98" s="214" t="s">
        <v>556</v>
      </c>
      <c r="EJ98" s="214" t="s">
        <v>556</v>
      </c>
      <c r="EK98" s="214" t="s">
        <v>556</v>
      </c>
      <c r="EL98" s="214" t="s">
        <v>556</v>
      </c>
      <c r="EM98" s="216" t="s">
        <v>600</v>
      </c>
      <c r="EN98" s="214" t="s">
        <v>576</v>
      </c>
      <c r="EO98" s="214" t="s">
        <v>600</v>
      </c>
      <c r="EP98" s="214" t="s">
        <v>608</v>
      </c>
      <c r="EQ98" s="216">
        <v>8</v>
      </c>
      <c r="ER98" s="216" t="s">
        <v>578</v>
      </c>
      <c r="ES98" s="216" t="s">
        <v>563</v>
      </c>
      <c r="ET98" s="216" t="s">
        <v>576</v>
      </c>
      <c r="EU98" s="211" t="s">
        <v>517</v>
      </c>
    </row>
    <row r="99" spans="127:151" ht="13.05" customHeight="1" x14ac:dyDescent="0.25">
      <c r="EE99" s="213" t="s">
        <v>609</v>
      </c>
      <c r="EF99" s="214" t="s">
        <v>610</v>
      </c>
      <c r="EG99" s="215" t="s">
        <v>576</v>
      </c>
      <c r="EH99" s="215" t="s">
        <v>590</v>
      </c>
      <c r="EI99" s="214" t="s">
        <v>556</v>
      </c>
      <c r="EJ99" s="214" t="s">
        <v>586</v>
      </c>
      <c r="EK99" s="214" t="s">
        <v>586</v>
      </c>
      <c r="EL99" s="214" t="s">
        <v>586</v>
      </c>
      <c r="EM99" s="216" t="s">
        <v>568</v>
      </c>
      <c r="EN99" s="214" t="s">
        <v>576</v>
      </c>
      <c r="EO99" s="214" t="s">
        <v>568</v>
      </c>
      <c r="EP99" s="214" t="s">
        <v>608</v>
      </c>
      <c r="EQ99" s="216" t="s">
        <v>561</v>
      </c>
      <c r="ER99" s="216" t="s">
        <v>562</v>
      </c>
      <c r="ES99" s="216">
        <v>8</v>
      </c>
      <c r="ET99" s="216" t="s">
        <v>563</v>
      </c>
      <c r="EU99" s="211" t="s">
        <v>517</v>
      </c>
    </row>
    <row r="100" spans="127:151" ht="13.05" customHeight="1" x14ac:dyDescent="0.25">
      <c r="DW100" s="73" t="s">
        <v>101</v>
      </c>
      <c r="DX100" s="74" t="s">
        <v>102</v>
      </c>
      <c r="DY100" s="74"/>
      <c r="DZ100" s="74" t="s">
        <v>22</v>
      </c>
      <c r="EA100" s="74" t="s">
        <v>132</v>
      </c>
      <c r="EB100" s="85" t="s">
        <v>139</v>
      </c>
      <c r="EC100" s="86" t="s">
        <v>186</v>
      </c>
      <c r="EE100" s="213" t="s">
        <v>611</v>
      </c>
      <c r="EF100" s="214" t="s">
        <v>612</v>
      </c>
      <c r="EG100" s="215" t="s">
        <v>553</v>
      </c>
      <c r="EH100" s="215" t="s">
        <v>590</v>
      </c>
      <c r="EI100" s="214" t="s">
        <v>556</v>
      </c>
      <c r="EJ100" s="214" t="s">
        <v>586</v>
      </c>
      <c r="EK100" s="214" t="s">
        <v>586</v>
      </c>
      <c r="EL100" s="214" t="s">
        <v>586</v>
      </c>
      <c r="EM100" s="216" t="s">
        <v>557</v>
      </c>
      <c r="EN100" s="214" t="s">
        <v>568</v>
      </c>
      <c r="EO100" s="214" t="s">
        <v>568</v>
      </c>
      <c r="EP100" s="214">
        <v>-2</v>
      </c>
      <c r="EQ100" s="216" t="s">
        <v>562</v>
      </c>
      <c r="ER100" s="216" t="s">
        <v>582</v>
      </c>
      <c r="ES100" s="216" t="s">
        <v>578</v>
      </c>
      <c r="ET100" s="216" t="s">
        <v>581</v>
      </c>
      <c r="EU100" s="211" t="s">
        <v>517</v>
      </c>
    </row>
    <row r="101" spans="127:151" ht="13.05" customHeight="1" x14ac:dyDescent="0.25">
      <c r="DW101" s="81" t="s">
        <v>108</v>
      </c>
      <c r="DX101" s="69">
        <v>9</v>
      </c>
      <c r="DY101" s="68"/>
      <c r="DZ101" s="69">
        <v>2</v>
      </c>
      <c r="EA101" s="69" t="s">
        <v>135</v>
      </c>
      <c r="EB101" s="90" t="s">
        <v>138</v>
      </c>
      <c r="EC101" s="69">
        <v>2</v>
      </c>
      <c r="EE101" s="213" t="s">
        <v>613</v>
      </c>
      <c r="EF101" s="214" t="s">
        <v>614</v>
      </c>
      <c r="EG101" s="215" t="s">
        <v>568</v>
      </c>
      <c r="EH101" s="215" t="s">
        <v>590</v>
      </c>
      <c r="EI101" s="214" t="s">
        <v>586</v>
      </c>
      <c r="EJ101" s="214" t="s">
        <v>586</v>
      </c>
      <c r="EK101" s="214" t="s">
        <v>586</v>
      </c>
      <c r="EL101" s="214" t="s">
        <v>586</v>
      </c>
      <c r="EM101" s="216" t="s">
        <v>615</v>
      </c>
      <c r="EN101" s="214" t="s">
        <v>581</v>
      </c>
      <c r="EO101" s="214" t="s">
        <v>600</v>
      </c>
      <c r="EP101" s="214" t="s">
        <v>560</v>
      </c>
      <c r="EQ101" s="216" t="s">
        <v>563</v>
      </c>
      <c r="ER101" s="216" t="s">
        <v>581</v>
      </c>
      <c r="ES101" s="220" t="s">
        <v>576</v>
      </c>
      <c r="ET101" s="220" t="s">
        <v>568</v>
      </c>
      <c r="EU101" s="211" t="s">
        <v>517</v>
      </c>
    </row>
    <row r="102" spans="127:151" ht="13.05" customHeight="1" x14ac:dyDescent="0.25">
      <c r="DW102" s="78" t="s">
        <v>103</v>
      </c>
      <c r="DX102" s="66">
        <v>18</v>
      </c>
      <c r="DY102" s="65"/>
      <c r="DZ102" s="66">
        <v>7</v>
      </c>
      <c r="EA102" s="66" t="s">
        <v>133</v>
      </c>
      <c r="EB102" s="87" t="s">
        <v>134</v>
      </c>
      <c r="EC102" s="66">
        <v>7</v>
      </c>
      <c r="EE102" s="213" t="s">
        <v>616</v>
      </c>
      <c r="EF102" s="214" t="s">
        <v>610</v>
      </c>
      <c r="EG102" s="215" t="s">
        <v>553</v>
      </c>
      <c r="EH102" s="215" t="s">
        <v>617</v>
      </c>
      <c r="EI102" s="214" t="s">
        <v>556</v>
      </c>
      <c r="EJ102" s="214" t="s">
        <v>586</v>
      </c>
      <c r="EK102" s="214" t="s">
        <v>586</v>
      </c>
      <c r="EL102" s="214" t="s">
        <v>586</v>
      </c>
      <c r="EM102" s="216" t="s">
        <v>568</v>
      </c>
      <c r="EN102" s="214" t="s">
        <v>581</v>
      </c>
      <c r="EO102" s="214" t="s">
        <v>557</v>
      </c>
      <c r="EP102" s="214" t="s">
        <v>608</v>
      </c>
      <c r="EQ102" s="216" t="s">
        <v>561</v>
      </c>
      <c r="ER102" s="216" t="s">
        <v>562</v>
      </c>
      <c r="ES102" s="216">
        <v>8</v>
      </c>
      <c r="ET102" s="216" t="s">
        <v>563</v>
      </c>
      <c r="EU102" s="211" t="s">
        <v>517</v>
      </c>
    </row>
    <row r="103" spans="127:151" ht="13.05" customHeight="1" x14ac:dyDescent="0.25">
      <c r="DW103" s="81" t="s">
        <v>104</v>
      </c>
      <c r="DX103" s="69">
        <v>12</v>
      </c>
      <c r="DY103" s="68"/>
      <c r="DZ103" s="69">
        <v>4</v>
      </c>
      <c r="EA103" s="69" t="s">
        <v>135</v>
      </c>
      <c r="EB103" s="88" t="s">
        <v>134</v>
      </c>
      <c r="EC103" s="69">
        <v>4</v>
      </c>
      <c r="EE103" s="221" t="s">
        <v>618</v>
      </c>
      <c r="EF103" s="214" t="s">
        <v>619</v>
      </c>
      <c r="EG103" s="215" t="s">
        <v>581</v>
      </c>
      <c r="EH103" s="222"/>
      <c r="EI103" s="214" t="s">
        <v>555</v>
      </c>
      <c r="EJ103" s="214" t="s">
        <v>586</v>
      </c>
      <c r="EK103" s="214" t="s">
        <v>586</v>
      </c>
      <c r="EL103" s="214" t="s">
        <v>586</v>
      </c>
      <c r="EM103" s="216" t="s">
        <v>576</v>
      </c>
      <c r="EN103" s="214" t="s">
        <v>558</v>
      </c>
      <c r="EO103" s="214" t="s">
        <v>557</v>
      </c>
      <c r="EP103" s="214">
        <v>-2</v>
      </c>
      <c r="EQ103" s="216" t="s">
        <v>570</v>
      </c>
      <c r="ER103" s="216" t="s">
        <v>571</v>
      </c>
      <c r="ES103" s="216" t="s">
        <v>572</v>
      </c>
      <c r="ET103" s="216" t="s">
        <v>593</v>
      </c>
      <c r="EU103" s="211" t="s">
        <v>660</v>
      </c>
    </row>
    <row r="104" spans="127:151" ht="13.05" customHeight="1" x14ac:dyDescent="0.25">
      <c r="DW104" s="81" t="s">
        <v>106</v>
      </c>
      <c r="DX104" s="69">
        <v>6</v>
      </c>
      <c r="DY104" s="68"/>
      <c r="DZ104" s="69">
        <v>1</v>
      </c>
      <c r="EA104" s="69" t="s">
        <v>15</v>
      </c>
      <c r="EB104" s="88" t="s">
        <v>137</v>
      </c>
      <c r="EC104" s="69">
        <v>1</v>
      </c>
      <c r="EE104" s="221" t="s">
        <v>620</v>
      </c>
      <c r="EF104" s="214" t="s">
        <v>619</v>
      </c>
      <c r="EG104" s="215" t="s">
        <v>581</v>
      </c>
      <c r="EH104" s="222"/>
      <c r="EI104" s="214" t="s">
        <v>555</v>
      </c>
      <c r="EJ104" s="214" t="s">
        <v>556</v>
      </c>
      <c r="EK104" s="214" t="s">
        <v>556</v>
      </c>
      <c r="EL104" s="214" t="s">
        <v>556</v>
      </c>
      <c r="EM104" s="216">
        <v>2</v>
      </c>
      <c r="EN104" s="214" t="s">
        <v>557</v>
      </c>
      <c r="EO104" s="214" t="s">
        <v>557</v>
      </c>
      <c r="EP104" s="214" t="s">
        <v>569</v>
      </c>
      <c r="EQ104" s="216" t="s">
        <v>570</v>
      </c>
      <c r="ER104" s="216" t="s">
        <v>571</v>
      </c>
      <c r="ES104" s="216" t="s">
        <v>572</v>
      </c>
      <c r="ET104" s="216" t="s">
        <v>593</v>
      </c>
      <c r="EU104" s="211" t="s">
        <v>660</v>
      </c>
    </row>
    <row r="105" spans="127:151" ht="13.05" customHeight="1" x14ac:dyDescent="0.25">
      <c r="DW105" s="78" t="s">
        <v>107</v>
      </c>
      <c r="DX105" s="66">
        <v>15</v>
      </c>
      <c r="DY105" s="65"/>
      <c r="DZ105" s="72">
        <v>5</v>
      </c>
      <c r="EA105" s="66" t="s">
        <v>14</v>
      </c>
      <c r="EB105" s="89" t="s">
        <v>63</v>
      </c>
      <c r="EC105" s="66">
        <v>4</v>
      </c>
      <c r="EE105" s="213" t="s">
        <v>621</v>
      </c>
      <c r="EF105" s="214" t="s">
        <v>622</v>
      </c>
      <c r="EG105" s="215" t="s">
        <v>603</v>
      </c>
      <c r="EH105" s="215" t="s">
        <v>590</v>
      </c>
      <c r="EI105" s="214" t="s">
        <v>586</v>
      </c>
      <c r="EJ105" s="214" t="s">
        <v>586</v>
      </c>
      <c r="EK105" s="214" t="s">
        <v>586</v>
      </c>
      <c r="EL105" s="214" t="s">
        <v>586</v>
      </c>
      <c r="EM105" s="216" t="s">
        <v>615</v>
      </c>
      <c r="EN105" s="214" t="s">
        <v>581</v>
      </c>
      <c r="EO105" s="214">
        <v>-2</v>
      </c>
      <c r="EP105" s="214" t="s">
        <v>608</v>
      </c>
      <c r="EQ105" s="216" t="s">
        <v>563</v>
      </c>
      <c r="ER105" s="216" t="s">
        <v>581</v>
      </c>
      <c r="ES105" s="220" t="s">
        <v>576</v>
      </c>
      <c r="ET105" s="220" t="s">
        <v>568</v>
      </c>
      <c r="EU105" s="211" t="s">
        <v>517</v>
      </c>
    </row>
    <row r="106" spans="127:151" ht="13.05" customHeight="1" x14ac:dyDescent="0.25">
      <c r="DW106" s="78" t="s">
        <v>105</v>
      </c>
      <c r="DX106" s="66">
        <v>12</v>
      </c>
      <c r="DY106" s="65"/>
      <c r="DZ106" s="72">
        <v>3</v>
      </c>
      <c r="EA106" s="66" t="s">
        <v>13</v>
      </c>
      <c r="EB106" s="87" t="s">
        <v>136</v>
      </c>
      <c r="EC106" s="66">
        <v>4</v>
      </c>
      <c r="EE106" s="213" t="s">
        <v>623</v>
      </c>
      <c r="EF106" s="214" t="s">
        <v>602</v>
      </c>
      <c r="EG106" s="215" t="s">
        <v>603</v>
      </c>
      <c r="EH106" s="215" t="s">
        <v>624</v>
      </c>
      <c r="EI106" s="214" t="s">
        <v>586</v>
      </c>
      <c r="EJ106" s="214" t="s">
        <v>586</v>
      </c>
      <c r="EK106" s="214" t="s">
        <v>586</v>
      </c>
      <c r="EL106" s="214" t="s">
        <v>586</v>
      </c>
      <c r="EM106" s="216" t="s">
        <v>600</v>
      </c>
      <c r="EN106" s="219" t="s">
        <v>576</v>
      </c>
      <c r="EO106" s="214" t="s">
        <v>600</v>
      </c>
      <c r="EP106" s="214" t="s">
        <v>608</v>
      </c>
      <c r="EQ106" s="216">
        <v>8</v>
      </c>
      <c r="ER106" s="220" t="s">
        <v>578</v>
      </c>
      <c r="ES106" s="216" t="s">
        <v>563</v>
      </c>
      <c r="ET106" s="220" t="s">
        <v>576</v>
      </c>
      <c r="EU106" s="211" t="s">
        <v>661</v>
      </c>
    </row>
    <row r="107" spans="127:151" ht="13.05" customHeight="1" x14ac:dyDescent="0.25">
      <c r="DW107" s="91"/>
      <c r="DX107" s="79"/>
      <c r="EE107" s="213" t="s">
        <v>625</v>
      </c>
      <c r="EF107" s="214" t="s">
        <v>602</v>
      </c>
      <c r="EG107" s="215" t="s">
        <v>603</v>
      </c>
      <c r="EH107" s="215" t="s">
        <v>624</v>
      </c>
      <c r="EI107" s="214" t="s">
        <v>586</v>
      </c>
      <c r="EJ107" s="214" t="s">
        <v>586</v>
      </c>
      <c r="EK107" s="214" t="s">
        <v>586</v>
      </c>
      <c r="EL107" s="214" t="s">
        <v>586</v>
      </c>
      <c r="EM107" s="216" t="s">
        <v>600</v>
      </c>
      <c r="EN107" s="219" t="s">
        <v>576</v>
      </c>
      <c r="EO107" s="214" t="s">
        <v>600</v>
      </c>
      <c r="EP107" s="214" t="s">
        <v>608</v>
      </c>
      <c r="EQ107" s="216" t="s">
        <v>563</v>
      </c>
      <c r="ER107" s="216" t="s">
        <v>581</v>
      </c>
      <c r="ES107" s="220" t="s">
        <v>576</v>
      </c>
      <c r="ET107" s="220" t="s">
        <v>568</v>
      </c>
      <c r="EU107" s="211" t="s">
        <v>661</v>
      </c>
    </row>
    <row r="108" spans="127:151" ht="13.05" customHeight="1" x14ac:dyDescent="0.25">
      <c r="EE108" s="213" t="s">
        <v>626</v>
      </c>
      <c r="EF108" s="214" t="s">
        <v>610</v>
      </c>
      <c r="EG108" s="215" t="s">
        <v>576</v>
      </c>
      <c r="EH108" s="215" t="s">
        <v>617</v>
      </c>
      <c r="EI108" s="214" t="s">
        <v>586</v>
      </c>
      <c r="EJ108" s="214" t="s">
        <v>586</v>
      </c>
      <c r="EK108" s="214" t="s">
        <v>586</v>
      </c>
      <c r="EL108" s="214" t="s">
        <v>586</v>
      </c>
      <c r="EM108" s="216" t="s">
        <v>557</v>
      </c>
      <c r="EN108" s="214" t="s">
        <v>576</v>
      </c>
      <c r="EO108" s="214" t="s">
        <v>568</v>
      </c>
      <c r="EP108" s="214" t="s">
        <v>608</v>
      </c>
      <c r="EQ108" s="216" t="s">
        <v>562</v>
      </c>
      <c r="ER108" s="216" t="s">
        <v>582</v>
      </c>
      <c r="ES108" s="216" t="s">
        <v>578</v>
      </c>
      <c r="ET108" s="216" t="s">
        <v>581</v>
      </c>
      <c r="EU108" s="211" t="s">
        <v>517</v>
      </c>
    </row>
    <row r="109" spans="127:151" ht="13.05" customHeight="1" x14ac:dyDescent="0.25">
      <c r="DW109" s="92" t="s">
        <v>120</v>
      </c>
      <c r="DX109" s="84">
        <v>2</v>
      </c>
      <c r="EE109" s="213" t="s">
        <v>627</v>
      </c>
      <c r="EF109" s="214" t="s">
        <v>628</v>
      </c>
      <c r="EG109" s="215" t="s">
        <v>566</v>
      </c>
      <c r="EH109" s="215" t="s">
        <v>590</v>
      </c>
      <c r="EI109" s="214" t="s">
        <v>555</v>
      </c>
      <c r="EJ109" s="214" t="s">
        <v>555</v>
      </c>
      <c r="EK109" s="214" t="s">
        <v>586</v>
      </c>
      <c r="EL109" s="214" t="s">
        <v>586</v>
      </c>
      <c r="EM109" s="216" t="s">
        <v>576</v>
      </c>
      <c r="EN109" s="214" t="s">
        <v>557</v>
      </c>
      <c r="EO109" s="214" t="s">
        <v>569</v>
      </c>
      <c r="EP109" s="214" t="s">
        <v>558</v>
      </c>
      <c r="EQ109" s="216" t="s">
        <v>577</v>
      </c>
      <c r="ER109" s="216">
        <v>18</v>
      </c>
      <c r="ES109" s="216" t="s">
        <v>562</v>
      </c>
      <c r="ET109" s="216" t="s">
        <v>578</v>
      </c>
      <c r="EU109" s="211" t="s">
        <v>660</v>
      </c>
    </row>
    <row r="110" spans="127:151" ht="13.05" customHeight="1" x14ac:dyDescent="0.25">
      <c r="DW110" s="93" t="s">
        <v>121</v>
      </c>
      <c r="DX110" s="83">
        <v>2</v>
      </c>
      <c r="EE110" s="213" t="s">
        <v>629</v>
      </c>
      <c r="EF110" s="214" t="s">
        <v>584</v>
      </c>
      <c r="EG110" s="215" t="s">
        <v>553</v>
      </c>
      <c r="EH110" s="215" t="s">
        <v>590</v>
      </c>
      <c r="EI110" s="214" t="s">
        <v>556</v>
      </c>
      <c r="EJ110" s="214" t="s">
        <v>586</v>
      </c>
      <c r="EK110" s="214" t="s">
        <v>586</v>
      </c>
      <c r="EL110" s="214" t="s">
        <v>586</v>
      </c>
      <c r="EM110" s="216" t="s">
        <v>568</v>
      </c>
      <c r="EN110" s="214" t="s">
        <v>569</v>
      </c>
      <c r="EO110" s="214" t="s">
        <v>557</v>
      </c>
      <c r="EP110" s="214">
        <v>-2</v>
      </c>
      <c r="EQ110" s="216" t="s">
        <v>561</v>
      </c>
      <c r="ER110" s="216" t="s">
        <v>562</v>
      </c>
      <c r="ES110" s="216">
        <v>8</v>
      </c>
      <c r="ET110" s="216" t="s">
        <v>563</v>
      </c>
      <c r="EU110" s="211" t="s">
        <v>517</v>
      </c>
    </row>
    <row r="111" spans="127:151" ht="13.05" customHeight="1" x14ac:dyDescent="0.25">
      <c r="DW111" s="93" t="s">
        <v>123</v>
      </c>
      <c r="DX111" s="83">
        <v>1</v>
      </c>
      <c r="EE111" s="213" t="s">
        <v>630</v>
      </c>
      <c r="EF111" s="214" t="s">
        <v>628</v>
      </c>
      <c r="EG111" s="215" t="s">
        <v>566</v>
      </c>
      <c r="EH111" s="215" t="s">
        <v>590</v>
      </c>
      <c r="EI111" s="214" t="s">
        <v>555</v>
      </c>
      <c r="EJ111" s="214" t="s">
        <v>586</v>
      </c>
      <c r="EK111" s="214" t="s">
        <v>586</v>
      </c>
      <c r="EL111" s="214" t="s">
        <v>586</v>
      </c>
      <c r="EM111" s="216" t="s">
        <v>568</v>
      </c>
      <c r="EN111" s="214" t="s">
        <v>559</v>
      </c>
      <c r="EO111" s="214" t="s">
        <v>559</v>
      </c>
      <c r="EP111" s="214" t="s">
        <v>569</v>
      </c>
      <c r="EQ111" s="216" t="s">
        <v>570</v>
      </c>
      <c r="ER111" s="216" t="s">
        <v>571</v>
      </c>
      <c r="ES111" s="216" t="s">
        <v>572</v>
      </c>
      <c r="ET111" s="216" t="s">
        <v>593</v>
      </c>
      <c r="EU111" s="211" t="s">
        <v>660</v>
      </c>
    </row>
    <row r="112" spans="127:151" ht="13.05" customHeight="1" x14ac:dyDescent="0.25">
      <c r="DW112" s="92" t="s">
        <v>122</v>
      </c>
      <c r="DX112" s="84">
        <v>1</v>
      </c>
      <c r="EE112" s="213" t="s">
        <v>631</v>
      </c>
      <c r="EF112" s="214" t="s">
        <v>584</v>
      </c>
      <c r="EG112" s="215" t="s">
        <v>553</v>
      </c>
      <c r="EH112" s="215" t="s">
        <v>604</v>
      </c>
      <c r="EI112" s="214" t="s">
        <v>556</v>
      </c>
      <c r="EJ112" s="214" t="s">
        <v>586</v>
      </c>
      <c r="EK112" s="214" t="s">
        <v>586</v>
      </c>
      <c r="EL112" s="214" t="s">
        <v>586</v>
      </c>
      <c r="EM112" s="216" t="s">
        <v>557</v>
      </c>
      <c r="EN112" s="214" t="s">
        <v>558</v>
      </c>
      <c r="EO112" s="214" t="s">
        <v>596</v>
      </c>
      <c r="EP112" s="214">
        <v>-2</v>
      </c>
      <c r="EQ112" s="216" t="s">
        <v>562</v>
      </c>
      <c r="ER112" s="216" t="s">
        <v>582</v>
      </c>
      <c r="ES112" s="216" t="s">
        <v>578</v>
      </c>
      <c r="ET112" s="216" t="s">
        <v>581</v>
      </c>
      <c r="EU112" s="211" t="s">
        <v>517</v>
      </c>
    </row>
    <row r="113" spans="127:151" ht="13.05" customHeight="1" x14ac:dyDescent="0.25">
      <c r="DW113" s="92" t="s">
        <v>124</v>
      </c>
      <c r="DX113" s="84">
        <v>2</v>
      </c>
      <c r="EE113" s="213" t="s">
        <v>632</v>
      </c>
      <c r="EF113" s="214" t="s">
        <v>584</v>
      </c>
      <c r="EG113" s="215" t="s">
        <v>553</v>
      </c>
      <c r="EH113" s="215" t="s">
        <v>590</v>
      </c>
      <c r="EI113" s="214" t="s">
        <v>556</v>
      </c>
      <c r="EJ113" s="214" t="s">
        <v>586</v>
      </c>
      <c r="EK113" s="214" t="s">
        <v>586</v>
      </c>
      <c r="EL113" s="214" t="s">
        <v>586</v>
      </c>
      <c r="EM113" s="216" t="s">
        <v>568</v>
      </c>
      <c r="EN113" s="214" t="s">
        <v>596</v>
      </c>
      <c r="EO113" s="214" t="s">
        <v>569</v>
      </c>
      <c r="EP113" s="214" t="s">
        <v>596</v>
      </c>
      <c r="EQ113" s="216" t="s">
        <v>561</v>
      </c>
      <c r="ER113" s="216" t="s">
        <v>562</v>
      </c>
      <c r="ES113" s="216">
        <v>8</v>
      </c>
      <c r="ET113" s="216" t="s">
        <v>563</v>
      </c>
      <c r="EU113" s="211" t="s">
        <v>517</v>
      </c>
    </row>
    <row r="114" spans="127:151" ht="13.05" customHeight="1" x14ac:dyDescent="0.25">
      <c r="DW114" s="93" t="s">
        <v>125</v>
      </c>
      <c r="DX114" s="83">
        <v>1</v>
      </c>
      <c r="EE114" s="213" t="s">
        <v>633</v>
      </c>
      <c r="EF114" s="214" t="s">
        <v>612</v>
      </c>
      <c r="EG114" s="215" t="s">
        <v>553</v>
      </c>
      <c r="EH114" s="215" t="s">
        <v>590</v>
      </c>
      <c r="EI114" s="214" t="s">
        <v>556</v>
      </c>
      <c r="EJ114" s="214" t="s">
        <v>586</v>
      </c>
      <c r="EK114" s="214" t="s">
        <v>586</v>
      </c>
      <c r="EL114" s="214" t="s">
        <v>586</v>
      </c>
      <c r="EM114" s="216" t="s">
        <v>557</v>
      </c>
      <c r="EN114" s="214" t="s">
        <v>600</v>
      </c>
      <c r="EO114" s="214" t="s">
        <v>568</v>
      </c>
      <c r="EP114" s="214" t="s">
        <v>557</v>
      </c>
      <c r="EQ114" s="216" t="s">
        <v>562</v>
      </c>
      <c r="ER114" s="216" t="s">
        <v>582</v>
      </c>
      <c r="ES114" s="216" t="s">
        <v>578</v>
      </c>
      <c r="ET114" s="216" t="s">
        <v>581</v>
      </c>
      <c r="EU114" s="211" t="s">
        <v>517</v>
      </c>
    </row>
    <row r="115" spans="127:151" ht="13.05" customHeight="1" x14ac:dyDescent="0.25">
      <c r="DW115" s="94" t="s">
        <v>126</v>
      </c>
      <c r="DX115" s="80">
        <v>2</v>
      </c>
      <c r="EE115" s="213" t="s">
        <v>634</v>
      </c>
      <c r="EF115" s="214" t="s">
        <v>612</v>
      </c>
      <c r="EG115" s="215" t="s">
        <v>553</v>
      </c>
      <c r="EH115" s="215" t="s">
        <v>590</v>
      </c>
      <c r="EI115" s="214" t="s">
        <v>556</v>
      </c>
      <c r="EJ115" s="214" t="s">
        <v>586</v>
      </c>
      <c r="EK115" s="214" t="s">
        <v>586</v>
      </c>
      <c r="EL115" s="214" t="s">
        <v>586</v>
      </c>
      <c r="EM115" s="216" t="s">
        <v>568</v>
      </c>
      <c r="EN115" s="214">
        <v>-2</v>
      </c>
      <c r="EO115" s="214" t="s">
        <v>568</v>
      </c>
      <c r="EP115" s="214" t="s">
        <v>568</v>
      </c>
      <c r="EQ115" s="216" t="s">
        <v>561</v>
      </c>
      <c r="ER115" s="216" t="s">
        <v>562</v>
      </c>
      <c r="ES115" s="216">
        <v>8</v>
      </c>
      <c r="ET115" s="216" t="s">
        <v>563</v>
      </c>
      <c r="EU115" s="211" t="s">
        <v>517</v>
      </c>
    </row>
    <row r="116" spans="127:151" ht="13.05" customHeight="1" x14ac:dyDescent="0.25">
      <c r="DW116" s="94" t="s">
        <v>130</v>
      </c>
      <c r="DX116" s="80">
        <v>1</v>
      </c>
      <c r="EE116" s="213" t="s">
        <v>635</v>
      </c>
      <c r="EF116" s="214" t="s">
        <v>636</v>
      </c>
      <c r="EG116" s="215" t="s">
        <v>553</v>
      </c>
      <c r="EH116" s="215" t="s">
        <v>637</v>
      </c>
      <c r="EI116" s="214" t="s">
        <v>586</v>
      </c>
      <c r="EJ116" s="214" t="s">
        <v>586</v>
      </c>
      <c r="EK116" s="214" t="s">
        <v>586</v>
      </c>
      <c r="EL116" s="214" t="s">
        <v>586</v>
      </c>
      <c r="EM116" s="216" t="s">
        <v>557</v>
      </c>
      <c r="EN116" s="214" t="s">
        <v>568</v>
      </c>
      <c r="EO116" s="214" t="s">
        <v>576</v>
      </c>
      <c r="EP116" s="214" t="s">
        <v>608</v>
      </c>
      <c r="EQ116" s="216" t="s">
        <v>562</v>
      </c>
      <c r="ER116" s="216" t="s">
        <v>582</v>
      </c>
      <c r="ES116" s="216" t="s">
        <v>578</v>
      </c>
      <c r="ET116" s="216" t="s">
        <v>581</v>
      </c>
      <c r="EU116" s="211" t="s">
        <v>517</v>
      </c>
    </row>
    <row r="117" spans="127:151" ht="13.05" customHeight="1" x14ac:dyDescent="0.25">
      <c r="DW117" s="93" t="s">
        <v>127</v>
      </c>
      <c r="DX117" s="83">
        <v>1</v>
      </c>
      <c r="EE117" s="213" t="s">
        <v>638</v>
      </c>
      <c r="EF117" s="214" t="s">
        <v>636</v>
      </c>
      <c r="EG117" s="215" t="s">
        <v>553</v>
      </c>
      <c r="EH117" s="215" t="s">
        <v>590</v>
      </c>
      <c r="EI117" s="214" t="s">
        <v>586</v>
      </c>
      <c r="EJ117" s="214" t="s">
        <v>586</v>
      </c>
      <c r="EK117" s="214" t="s">
        <v>586</v>
      </c>
      <c r="EL117" s="214" t="s">
        <v>586</v>
      </c>
      <c r="EM117" s="216" t="s">
        <v>557</v>
      </c>
      <c r="EN117" s="214" t="s">
        <v>557</v>
      </c>
      <c r="EO117" s="214" t="s">
        <v>581</v>
      </c>
      <c r="EP117" s="214" t="s">
        <v>608</v>
      </c>
      <c r="EQ117" s="216" t="s">
        <v>562</v>
      </c>
      <c r="ER117" s="216" t="s">
        <v>582</v>
      </c>
      <c r="ES117" s="216" t="s">
        <v>578</v>
      </c>
      <c r="ET117" s="216" t="s">
        <v>581</v>
      </c>
      <c r="EU117" s="211" t="s">
        <v>517</v>
      </c>
    </row>
    <row r="118" spans="127:151" ht="13.05" customHeight="1" x14ac:dyDescent="0.25">
      <c r="DW118" s="94" t="s">
        <v>128</v>
      </c>
      <c r="DX118" s="80">
        <v>1</v>
      </c>
      <c r="EE118" s="213" t="s">
        <v>639</v>
      </c>
      <c r="EF118" s="214" t="s">
        <v>636</v>
      </c>
      <c r="EG118" s="215" t="s">
        <v>553</v>
      </c>
      <c r="EH118" s="215" t="s">
        <v>590</v>
      </c>
      <c r="EI118" s="214" t="s">
        <v>556</v>
      </c>
      <c r="EJ118" s="214" t="s">
        <v>586</v>
      </c>
      <c r="EK118" s="214" t="s">
        <v>586</v>
      </c>
      <c r="EL118" s="214" t="s">
        <v>586</v>
      </c>
      <c r="EM118" s="216" t="s">
        <v>568</v>
      </c>
      <c r="EN118" s="214" t="s">
        <v>557</v>
      </c>
      <c r="EO118" s="214" t="s">
        <v>581</v>
      </c>
      <c r="EP118" s="214" t="s">
        <v>608</v>
      </c>
      <c r="EQ118" s="216" t="s">
        <v>561</v>
      </c>
      <c r="ER118" s="216" t="s">
        <v>562</v>
      </c>
      <c r="ES118" s="216">
        <v>8</v>
      </c>
      <c r="ET118" s="216" t="s">
        <v>563</v>
      </c>
      <c r="EU118" s="211" t="s">
        <v>517</v>
      </c>
    </row>
    <row r="119" spans="127:151" ht="13.05" customHeight="1" x14ac:dyDescent="0.25">
      <c r="DW119" s="93" t="s">
        <v>129</v>
      </c>
      <c r="DX119" s="83">
        <v>2</v>
      </c>
      <c r="EE119" s="213" t="s">
        <v>640</v>
      </c>
      <c r="EF119" s="214" t="s">
        <v>636</v>
      </c>
      <c r="EG119" s="215" t="s">
        <v>553</v>
      </c>
      <c r="EH119" s="215" t="s">
        <v>590</v>
      </c>
      <c r="EI119" s="214" t="s">
        <v>556</v>
      </c>
      <c r="EJ119" s="214" t="s">
        <v>586</v>
      </c>
      <c r="EK119" s="214" t="s">
        <v>586</v>
      </c>
      <c r="EL119" s="214" t="s">
        <v>586</v>
      </c>
      <c r="EM119" s="216" t="s">
        <v>568</v>
      </c>
      <c r="EN119" s="214" t="s">
        <v>568</v>
      </c>
      <c r="EO119" s="214" t="s">
        <v>576</v>
      </c>
      <c r="EP119" s="214" t="s">
        <v>608</v>
      </c>
      <c r="EQ119" s="216" t="s">
        <v>561</v>
      </c>
      <c r="ER119" s="216" t="s">
        <v>562</v>
      </c>
      <c r="ES119" s="216">
        <v>8</v>
      </c>
      <c r="ET119" s="216" t="s">
        <v>563</v>
      </c>
      <c r="EU119" s="211" t="s">
        <v>517</v>
      </c>
    </row>
    <row r="120" spans="127:151" ht="13.05" customHeight="1" x14ac:dyDescent="0.25">
      <c r="EE120" s="221" t="s">
        <v>641</v>
      </c>
      <c r="EF120" s="214" t="s">
        <v>589</v>
      </c>
      <c r="EG120" s="215" t="s">
        <v>566</v>
      </c>
      <c r="EH120" s="222"/>
      <c r="EI120" s="214" t="s">
        <v>555</v>
      </c>
      <c r="EJ120" s="214" t="s">
        <v>586</v>
      </c>
      <c r="EK120" s="214" t="s">
        <v>586</v>
      </c>
      <c r="EL120" s="214" t="s">
        <v>586</v>
      </c>
      <c r="EM120" s="216" t="s">
        <v>576</v>
      </c>
      <c r="EN120" s="214" t="s">
        <v>557</v>
      </c>
      <c r="EO120" s="214" t="s">
        <v>558</v>
      </c>
      <c r="EP120" s="214">
        <v>-2</v>
      </c>
      <c r="EQ120" s="216" t="s">
        <v>570</v>
      </c>
      <c r="ER120" s="216" t="s">
        <v>571</v>
      </c>
      <c r="ES120" s="216" t="s">
        <v>572</v>
      </c>
      <c r="ET120" s="216" t="s">
        <v>593</v>
      </c>
      <c r="EU120" s="211" t="s">
        <v>660</v>
      </c>
    </row>
    <row r="121" spans="127:151" ht="13.05" customHeight="1" x14ac:dyDescent="0.25">
      <c r="EE121" s="221" t="s">
        <v>642</v>
      </c>
      <c r="EF121" s="214" t="s">
        <v>589</v>
      </c>
      <c r="EG121" s="215" t="s">
        <v>566</v>
      </c>
      <c r="EH121" s="222"/>
      <c r="EI121" s="214" t="s">
        <v>555</v>
      </c>
      <c r="EJ121" s="214" t="s">
        <v>556</v>
      </c>
      <c r="EK121" s="214" t="s">
        <v>556</v>
      </c>
      <c r="EL121" s="214" t="s">
        <v>556</v>
      </c>
      <c r="EM121" s="216">
        <v>2</v>
      </c>
      <c r="EN121" s="214">
        <v>-2</v>
      </c>
      <c r="EO121" s="214" t="s">
        <v>558</v>
      </c>
      <c r="EP121" s="214" t="s">
        <v>559</v>
      </c>
      <c r="EQ121" s="216" t="s">
        <v>570</v>
      </c>
      <c r="ER121" s="216" t="s">
        <v>571</v>
      </c>
      <c r="ES121" s="216" t="s">
        <v>572</v>
      </c>
      <c r="ET121" s="216" t="s">
        <v>593</v>
      </c>
      <c r="EU121" s="211" t="s">
        <v>660</v>
      </c>
    </row>
    <row r="122" spans="127:151" ht="13.05" customHeight="1" x14ac:dyDescent="0.25">
      <c r="DW122" s="95" t="str">
        <f>Profissao</f>
        <v/>
      </c>
      <c r="DX122" s="96"/>
      <c r="EE122" s="213" t="s">
        <v>643</v>
      </c>
      <c r="EF122" s="214" t="s">
        <v>607</v>
      </c>
      <c r="EG122" s="215" t="s">
        <v>603</v>
      </c>
      <c r="EH122" s="215" t="s">
        <v>590</v>
      </c>
      <c r="EI122" s="214" t="s">
        <v>586</v>
      </c>
      <c r="EJ122" s="214" t="s">
        <v>586</v>
      </c>
      <c r="EK122" s="214" t="s">
        <v>586</v>
      </c>
      <c r="EL122" s="214" t="s">
        <v>586</v>
      </c>
      <c r="EM122" s="216" t="s">
        <v>600</v>
      </c>
      <c r="EN122" s="219" t="s">
        <v>568</v>
      </c>
      <c r="EO122" s="219" t="s">
        <v>557</v>
      </c>
      <c r="EP122" s="214" t="s">
        <v>608</v>
      </c>
      <c r="EQ122" s="216" t="s">
        <v>563</v>
      </c>
      <c r="ER122" s="216" t="s">
        <v>581</v>
      </c>
      <c r="ES122" s="220" t="s">
        <v>576</v>
      </c>
      <c r="ET122" s="220" t="s">
        <v>568</v>
      </c>
      <c r="EU122" s="211" t="s">
        <v>517</v>
      </c>
    </row>
    <row r="123" spans="127:151" ht="13.05" customHeight="1" x14ac:dyDescent="0.25">
      <c r="DW123" s="97" t="e">
        <f>IF(HLOOKUP($DW$122,Características!$AD$12:$AD$27,2,FALSE)=0,"",HLOOKUP($DW$122,Características!$AD$12:$AD$27,2,FALSE))</f>
        <v>#N/A</v>
      </c>
      <c r="DX123" s="98"/>
      <c r="EE123" s="221" t="s">
        <v>644</v>
      </c>
      <c r="EF123" s="214" t="s">
        <v>645</v>
      </c>
      <c r="EG123" s="215" t="s">
        <v>566</v>
      </c>
      <c r="EH123" s="222"/>
      <c r="EI123" s="214" t="s">
        <v>555</v>
      </c>
      <c r="EJ123" s="214" t="s">
        <v>586</v>
      </c>
      <c r="EK123" s="214" t="s">
        <v>586</v>
      </c>
      <c r="EL123" s="214" t="s">
        <v>586</v>
      </c>
      <c r="EM123" s="216" t="s">
        <v>576</v>
      </c>
      <c r="EN123" s="214" t="s">
        <v>596</v>
      </c>
      <c r="EO123" s="214" t="s">
        <v>559</v>
      </c>
      <c r="EP123" s="214" t="s">
        <v>559</v>
      </c>
      <c r="EQ123" s="216" t="s">
        <v>570</v>
      </c>
      <c r="ER123" s="216" t="s">
        <v>571</v>
      </c>
      <c r="ES123" s="216" t="s">
        <v>572</v>
      </c>
      <c r="ET123" s="216" t="s">
        <v>593</v>
      </c>
      <c r="EU123" s="212" t="s">
        <v>660</v>
      </c>
    </row>
    <row r="124" spans="127:151" ht="13.05" customHeight="1" x14ac:dyDescent="0.25">
      <c r="DW124" s="97" t="e">
        <f>IF(HLOOKUP($DW$122,Características!$AD$12:$AD$27,3,FALSE)=0,"",HLOOKUP($DW$122,Características!$AD$12:$AD$27,3,FALSE))</f>
        <v>#N/A</v>
      </c>
      <c r="DX124" s="98"/>
      <c r="EE124" s="221" t="s">
        <v>646</v>
      </c>
      <c r="EF124" s="214" t="s">
        <v>645</v>
      </c>
      <c r="EG124" s="215" t="s">
        <v>566</v>
      </c>
      <c r="EH124" s="222"/>
      <c r="EI124" s="214" t="s">
        <v>555</v>
      </c>
      <c r="EJ124" s="214" t="s">
        <v>556</v>
      </c>
      <c r="EK124" s="214" t="s">
        <v>556</v>
      </c>
      <c r="EL124" s="214" t="s">
        <v>556</v>
      </c>
      <c r="EM124" s="216">
        <v>2</v>
      </c>
      <c r="EN124" s="214">
        <v>-2</v>
      </c>
      <c r="EO124" s="214" t="s">
        <v>559</v>
      </c>
      <c r="EP124" s="214" t="s">
        <v>558</v>
      </c>
      <c r="EQ124" s="216" t="s">
        <v>570</v>
      </c>
      <c r="ER124" s="216" t="s">
        <v>571</v>
      </c>
      <c r="ES124" s="216" t="s">
        <v>572</v>
      </c>
      <c r="ET124" s="216" t="s">
        <v>593</v>
      </c>
      <c r="EU124" s="212" t="s">
        <v>660</v>
      </c>
    </row>
    <row r="125" spans="127:151" ht="13.05" customHeight="1" x14ac:dyDescent="0.25">
      <c r="DW125" s="97" t="e">
        <f>IF(HLOOKUP($DW$122,Características!$AD$12:$AD$27,4,FALSE)=0,"",HLOOKUP($DW$122,Características!$AD$12:$AD$27,4,FALSE))</f>
        <v>#N/A</v>
      </c>
      <c r="DX125" s="98"/>
      <c r="EE125" s="213" t="s">
        <v>647</v>
      </c>
      <c r="EF125" s="214" t="s">
        <v>612</v>
      </c>
      <c r="EG125" s="215" t="s">
        <v>553</v>
      </c>
      <c r="EH125" s="215" t="s">
        <v>590</v>
      </c>
      <c r="EI125" s="214" t="s">
        <v>556</v>
      </c>
      <c r="EJ125" s="214" t="s">
        <v>586</v>
      </c>
      <c r="EK125" s="214" t="s">
        <v>586</v>
      </c>
      <c r="EL125" s="214" t="s">
        <v>586</v>
      </c>
      <c r="EM125" s="216" t="s">
        <v>568</v>
      </c>
      <c r="EN125" s="214" t="s">
        <v>600</v>
      </c>
      <c r="EO125" s="214" t="s">
        <v>568</v>
      </c>
      <c r="EP125" s="214" t="s">
        <v>557</v>
      </c>
      <c r="EQ125" s="216" t="s">
        <v>561</v>
      </c>
      <c r="ER125" s="216" t="s">
        <v>562</v>
      </c>
      <c r="ES125" s="216">
        <v>8</v>
      </c>
      <c r="ET125" s="216" t="s">
        <v>563</v>
      </c>
      <c r="EU125" s="212" t="s">
        <v>517</v>
      </c>
    </row>
    <row r="126" spans="127:151" ht="13.05" customHeight="1" x14ac:dyDescent="0.25">
      <c r="DW126" s="97" t="e">
        <f>IF(HLOOKUP($DW$122,Características!$AD$12:$AD$27,5,FALSE)=0,"",HLOOKUP($DW$122,Características!$AD$12:$AD$27,5,FALSE))</f>
        <v>#N/A</v>
      </c>
      <c r="DX126" s="98"/>
      <c r="EE126" s="213" t="s">
        <v>648</v>
      </c>
      <c r="EF126" s="214" t="s">
        <v>614</v>
      </c>
      <c r="EG126" s="215" t="s">
        <v>568</v>
      </c>
      <c r="EH126" s="215" t="s">
        <v>590</v>
      </c>
      <c r="EI126" s="214" t="s">
        <v>586</v>
      </c>
      <c r="EJ126" s="214" t="s">
        <v>586</v>
      </c>
      <c r="EK126" s="214" t="s">
        <v>586</v>
      </c>
      <c r="EL126" s="214" t="s">
        <v>586</v>
      </c>
      <c r="EM126" s="216" t="s">
        <v>600</v>
      </c>
      <c r="EN126" s="214" t="s">
        <v>576</v>
      </c>
      <c r="EO126" s="214" t="s">
        <v>557</v>
      </c>
      <c r="EP126" s="214" t="s">
        <v>560</v>
      </c>
      <c r="EQ126" s="216">
        <v>8</v>
      </c>
      <c r="ER126" s="216" t="s">
        <v>578</v>
      </c>
      <c r="ES126" s="216" t="s">
        <v>563</v>
      </c>
      <c r="ET126" s="216" t="s">
        <v>576</v>
      </c>
      <c r="EU126" s="212" t="s">
        <v>517</v>
      </c>
    </row>
    <row r="127" spans="127:151" ht="13.05" customHeight="1" x14ac:dyDescent="0.25">
      <c r="DW127" s="97" t="e">
        <f>IF(HLOOKUP($DW$122,Características!$AD$12:$AD$27,6,FALSE)=0,"",HLOOKUP($DW$122,Características!$AD$12:$AD$27,6,FALSE))</f>
        <v>#N/A</v>
      </c>
      <c r="DX127" s="98"/>
      <c r="EE127" s="213" t="s">
        <v>649</v>
      </c>
      <c r="EF127" s="214" t="s">
        <v>645</v>
      </c>
      <c r="EG127" s="215" t="s">
        <v>566</v>
      </c>
      <c r="EH127" s="215" t="s">
        <v>617</v>
      </c>
      <c r="EI127" s="214" t="s">
        <v>555</v>
      </c>
      <c r="EJ127" s="214" t="s">
        <v>555</v>
      </c>
      <c r="EK127" s="214" t="s">
        <v>555</v>
      </c>
      <c r="EL127" s="214" t="s">
        <v>556</v>
      </c>
      <c r="EM127" s="216" t="s">
        <v>576</v>
      </c>
      <c r="EN127" s="214" t="s">
        <v>587</v>
      </c>
      <c r="EO127" s="214" t="s">
        <v>569</v>
      </c>
      <c r="EP127" s="214" t="s">
        <v>650</v>
      </c>
      <c r="EQ127" s="216" t="s">
        <v>577</v>
      </c>
      <c r="ER127" s="216">
        <v>18</v>
      </c>
      <c r="ES127" s="216" t="s">
        <v>562</v>
      </c>
      <c r="ET127" s="216" t="s">
        <v>578</v>
      </c>
      <c r="EU127" s="212" t="s">
        <v>660</v>
      </c>
    </row>
    <row r="128" spans="127:151" ht="13.05" customHeight="1" x14ac:dyDescent="0.25">
      <c r="DW128" s="97" t="e">
        <f>IF(HLOOKUP($DW$122,Características!$AD$12:$AD$27,7,FALSE)=0,"",HLOOKUP($DW$122,Características!$AD$12:$AD$27,7,FALSE))</f>
        <v>#N/A</v>
      </c>
      <c r="DX128" s="98"/>
      <c r="EE128" s="213" t="s">
        <v>651</v>
      </c>
      <c r="EF128" s="214" t="s">
        <v>612</v>
      </c>
      <c r="EG128" s="215" t="s">
        <v>553</v>
      </c>
      <c r="EH128" s="215" t="s">
        <v>637</v>
      </c>
      <c r="EI128" s="214" t="s">
        <v>586</v>
      </c>
      <c r="EJ128" s="214" t="s">
        <v>586</v>
      </c>
      <c r="EK128" s="214" t="s">
        <v>586</v>
      </c>
      <c r="EL128" s="214" t="s">
        <v>586</v>
      </c>
      <c r="EM128" s="216" t="s">
        <v>557</v>
      </c>
      <c r="EN128" s="214" t="s">
        <v>557</v>
      </c>
      <c r="EO128" s="214" t="s">
        <v>568</v>
      </c>
      <c r="EP128" s="214" t="s">
        <v>600</v>
      </c>
      <c r="EQ128" s="216" t="s">
        <v>562</v>
      </c>
      <c r="ER128" s="216" t="s">
        <v>582</v>
      </c>
      <c r="ES128" s="216" t="s">
        <v>578</v>
      </c>
      <c r="ET128" s="216" t="s">
        <v>581</v>
      </c>
      <c r="EU128" s="212" t="s">
        <v>517</v>
      </c>
    </row>
    <row r="129" spans="127:151" ht="13.05" customHeight="1" x14ac:dyDescent="0.25">
      <c r="DW129" s="97" t="e">
        <f>IF(HLOOKUP($DW$122,Características!$AD$12:$AD$27,8,FALSE)=0,"",HLOOKUP($DW$122,Características!$AD$12:$AD$27,8,FALSE))</f>
        <v>#N/A</v>
      </c>
      <c r="DX129" s="98"/>
      <c r="EE129" s="213" t="s">
        <v>652</v>
      </c>
      <c r="EF129" s="214" t="s">
        <v>619</v>
      </c>
      <c r="EG129" s="215" t="s">
        <v>566</v>
      </c>
      <c r="EH129" s="215" t="s">
        <v>617</v>
      </c>
      <c r="EI129" s="214" t="s">
        <v>555</v>
      </c>
      <c r="EJ129" s="214" t="s">
        <v>555</v>
      </c>
      <c r="EK129" s="214" t="s">
        <v>555</v>
      </c>
      <c r="EL129" s="214" t="s">
        <v>556</v>
      </c>
      <c r="EM129" s="216" t="s">
        <v>576</v>
      </c>
      <c r="EN129" s="214" t="s">
        <v>596</v>
      </c>
      <c r="EO129" s="214" t="s">
        <v>559</v>
      </c>
      <c r="EP129" s="214" t="s">
        <v>558</v>
      </c>
      <c r="EQ129" s="216" t="s">
        <v>577</v>
      </c>
      <c r="ER129" s="216">
        <v>18</v>
      </c>
      <c r="ES129" s="216" t="s">
        <v>562</v>
      </c>
      <c r="ET129" s="216" t="s">
        <v>578</v>
      </c>
      <c r="EU129" s="212" t="s">
        <v>660</v>
      </c>
    </row>
    <row r="130" spans="127:151" ht="13.05" customHeight="1" x14ac:dyDescent="0.25">
      <c r="DW130" s="97" t="e">
        <f>IF(HLOOKUP($DW$122,Características!$AD$12:$AD$27,9,FALSE)=0,"",HLOOKUP($DW$122,Características!$AD$12:$AD$27,9,FALSE))</f>
        <v>#N/A</v>
      </c>
      <c r="DX130" s="98"/>
      <c r="EE130" s="213" t="s">
        <v>653</v>
      </c>
      <c r="EF130" s="214" t="s">
        <v>607</v>
      </c>
      <c r="EG130" s="215" t="s">
        <v>603</v>
      </c>
      <c r="EH130" s="215" t="s">
        <v>590</v>
      </c>
      <c r="EI130" s="214" t="s">
        <v>586</v>
      </c>
      <c r="EJ130" s="214" t="s">
        <v>586</v>
      </c>
      <c r="EK130" s="214" t="s">
        <v>586</v>
      </c>
      <c r="EL130" s="214" t="s">
        <v>586</v>
      </c>
      <c r="EM130" s="216" t="s">
        <v>600</v>
      </c>
      <c r="EN130" s="214" t="s">
        <v>568</v>
      </c>
      <c r="EO130" s="214" t="s">
        <v>557</v>
      </c>
      <c r="EP130" s="214" t="s">
        <v>608</v>
      </c>
      <c r="EQ130" s="216">
        <v>8</v>
      </c>
      <c r="ER130" s="216" t="s">
        <v>578</v>
      </c>
      <c r="ES130" s="216" t="s">
        <v>563</v>
      </c>
      <c r="ET130" s="216" t="s">
        <v>576</v>
      </c>
      <c r="EU130" s="211" t="s">
        <v>517</v>
      </c>
    </row>
    <row r="131" spans="127:151" ht="13.05" customHeight="1" x14ac:dyDescent="0.25">
      <c r="DW131" s="97" t="e">
        <f>IF(HLOOKUP($DW$122,Características!$AD$12:$AD$27,10,FALSE)=0,"",HLOOKUP($DW$122,Características!$AD$12:$AD$27,10,FALSE))</f>
        <v>#N/A</v>
      </c>
      <c r="DX131" s="98"/>
      <c r="EE131" s="213" t="s">
        <v>654</v>
      </c>
      <c r="EF131" s="214" t="s">
        <v>622</v>
      </c>
      <c r="EG131" s="215" t="s">
        <v>603</v>
      </c>
      <c r="EH131" s="215" t="s">
        <v>599</v>
      </c>
      <c r="EI131" s="214" t="s">
        <v>586</v>
      </c>
      <c r="EJ131" s="214" t="s">
        <v>586</v>
      </c>
      <c r="EK131" s="214" t="s">
        <v>586</v>
      </c>
      <c r="EL131" s="214" t="s">
        <v>586</v>
      </c>
      <c r="EM131" s="216" t="s">
        <v>615</v>
      </c>
      <c r="EN131" s="214" t="s">
        <v>581</v>
      </c>
      <c r="EO131" s="214">
        <v>-2</v>
      </c>
      <c r="EP131" s="214" t="s">
        <v>608</v>
      </c>
      <c r="EQ131" s="216">
        <v>8</v>
      </c>
      <c r="ER131" s="216" t="s">
        <v>578</v>
      </c>
      <c r="ES131" s="216" t="s">
        <v>563</v>
      </c>
      <c r="ET131" s="216" t="s">
        <v>576</v>
      </c>
      <c r="EU131" s="211" t="s">
        <v>517</v>
      </c>
    </row>
    <row r="132" spans="127:151" ht="13.05" customHeight="1" x14ac:dyDescent="0.25">
      <c r="DW132" s="97" t="e">
        <f>IF(HLOOKUP($DW$122,Características!$AD$12:$AD$27,11,FALSE)=0,"",HLOOKUP($DW$122,Características!$AD$12:$AD$27,11,FALSE))</f>
        <v>#N/A</v>
      </c>
      <c r="DX132" s="98"/>
      <c r="EE132" s="213" t="s">
        <v>655</v>
      </c>
      <c r="EF132" s="214" t="s">
        <v>610</v>
      </c>
      <c r="EG132" s="215" t="s">
        <v>576</v>
      </c>
      <c r="EH132" s="215" t="s">
        <v>617</v>
      </c>
      <c r="EI132" s="214" t="s">
        <v>586</v>
      </c>
      <c r="EJ132" s="214" t="s">
        <v>586</v>
      </c>
      <c r="EK132" s="214" t="s">
        <v>586</v>
      </c>
      <c r="EL132" s="214" t="s">
        <v>586</v>
      </c>
      <c r="EM132" s="216" t="s">
        <v>557</v>
      </c>
      <c r="EN132" s="214" t="s">
        <v>650</v>
      </c>
      <c r="EO132" s="214" t="s">
        <v>557</v>
      </c>
      <c r="EP132" s="214" t="s">
        <v>560</v>
      </c>
      <c r="EQ132" s="216" t="s">
        <v>562</v>
      </c>
      <c r="ER132" s="216" t="s">
        <v>582</v>
      </c>
      <c r="ES132" s="216" t="s">
        <v>578</v>
      </c>
      <c r="ET132" s="216" t="s">
        <v>581</v>
      </c>
      <c r="EU132" s="212" t="s">
        <v>517</v>
      </c>
    </row>
    <row r="133" spans="127:151" ht="13.05" customHeight="1" x14ac:dyDescent="0.25">
      <c r="DW133" s="97" t="e">
        <f>IF(HLOOKUP($DW$122,Características!$AD$12:$AD$27,12,FALSE)=0,"",HLOOKUP($DW$122,Características!$AD$12:$AD$27,12,FALSE))</f>
        <v>#N/A</v>
      </c>
      <c r="DX133" s="98"/>
      <c r="EE133" s="229" t="s">
        <v>662</v>
      </c>
      <c r="EF133" s="214" t="s">
        <v>598</v>
      </c>
      <c r="EG133" s="215" t="s">
        <v>603</v>
      </c>
      <c r="EH133" s="218" t="s">
        <v>656</v>
      </c>
      <c r="EI133" s="219" t="s">
        <v>556</v>
      </c>
      <c r="EJ133" s="219" t="s">
        <v>556</v>
      </c>
      <c r="EK133" s="219" t="s">
        <v>556</v>
      </c>
      <c r="EL133" s="219" t="s">
        <v>556</v>
      </c>
      <c r="EM133" s="220" t="s">
        <v>600</v>
      </c>
      <c r="EN133" s="219" t="s">
        <v>555</v>
      </c>
      <c r="EO133" s="219" t="s">
        <v>555</v>
      </c>
      <c r="EP133" s="219" t="s">
        <v>555</v>
      </c>
      <c r="EQ133" s="220" t="s">
        <v>555</v>
      </c>
      <c r="ER133" s="220" t="s">
        <v>555</v>
      </c>
      <c r="ES133" s="220" t="s">
        <v>555</v>
      </c>
      <c r="ET133" s="220" t="s">
        <v>555</v>
      </c>
      <c r="EU133" s="212" t="s">
        <v>517</v>
      </c>
    </row>
    <row r="134" spans="127:151" ht="13.05" customHeight="1" x14ac:dyDescent="0.25">
      <c r="DW134" s="97" t="e">
        <f>IF(HLOOKUP($DW$122,Características!$AD$12:$AD$27,13,FALSE)=0,"",HLOOKUP($DW$122,Características!$AD$12:$AD$27,13,FALSE))</f>
        <v>#N/A</v>
      </c>
      <c r="DX134" s="98"/>
      <c r="EE134" s="213" t="s">
        <v>657</v>
      </c>
      <c r="EF134" s="214" t="s">
        <v>610</v>
      </c>
      <c r="EG134" s="215" t="s">
        <v>553</v>
      </c>
      <c r="EH134" s="215" t="s">
        <v>590</v>
      </c>
      <c r="EI134" s="214" t="s">
        <v>556</v>
      </c>
      <c r="EJ134" s="214" t="s">
        <v>586</v>
      </c>
      <c r="EK134" s="214" t="s">
        <v>586</v>
      </c>
      <c r="EL134" s="214" t="s">
        <v>586</v>
      </c>
      <c r="EM134" s="216" t="s">
        <v>568</v>
      </c>
      <c r="EN134" s="214" t="s">
        <v>581</v>
      </c>
      <c r="EO134" s="214" t="s">
        <v>557</v>
      </c>
      <c r="EP134" s="214" t="s">
        <v>608</v>
      </c>
      <c r="EQ134" s="216" t="s">
        <v>561</v>
      </c>
      <c r="ER134" s="216" t="s">
        <v>562</v>
      </c>
      <c r="ES134" s="216">
        <v>8</v>
      </c>
      <c r="ET134" s="216" t="s">
        <v>563</v>
      </c>
      <c r="EU134" s="212" t="s">
        <v>517</v>
      </c>
    </row>
    <row r="135" spans="127:151" ht="13.05" customHeight="1" x14ac:dyDescent="0.25">
      <c r="DW135" s="97" t="e">
        <f>IF(HLOOKUP($DW$122,Características!$AD$12:$AD$27,14,FALSE)=0,"",HLOOKUP($DW$122,Características!$AD$12:$AD$27,14,FALSE))</f>
        <v>#N/A</v>
      </c>
      <c r="DX135" s="98"/>
      <c r="EE135" s="213" t="s">
        <v>658</v>
      </c>
      <c r="EF135" s="214" t="s">
        <v>584</v>
      </c>
      <c r="EG135" s="215" t="s">
        <v>553</v>
      </c>
      <c r="EH135" s="215" t="s">
        <v>585</v>
      </c>
      <c r="EI135" s="214" t="s">
        <v>556</v>
      </c>
      <c r="EJ135" s="214" t="s">
        <v>586</v>
      </c>
      <c r="EK135" s="214" t="s">
        <v>586</v>
      </c>
      <c r="EL135" s="214" t="s">
        <v>586</v>
      </c>
      <c r="EM135" s="216" t="s">
        <v>568</v>
      </c>
      <c r="EN135" s="214" t="s">
        <v>569</v>
      </c>
      <c r="EO135" s="214" t="s">
        <v>596</v>
      </c>
      <c r="EP135" s="214" t="s">
        <v>596</v>
      </c>
      <c r="EQ135" s="216" t="s">
        <v>561</v>
      </c>
      <c r="ER135" s="216" t="s">
        <v>562</v>
      </c>
      <c r="ES135" s="216">
        <v>8</v>
      </c>
      <c r="ET135" s="216" t="s">
        <v>563</v>
      </c>
      <c r="EU135" s="212" t="s">
        <v>517</v>
      </c>
    </row>
    <row r="136" spans="127:151" ht="13.05" customHeight="1" x14ac:dyDescent="0.25">
      <c r="DW136" s="97" t="e">
        <f>IF(HLOOKUP($DW$122,Características!$AD$12:$AD$27,15,FALSE)=0,"",HLOOKUP($DW$122,Características!$AD$12:$AD$27,15,FALSE))</f>
        <v>#N/A</v>
      </c>
      <c r="DX136" s="98"/>
    </row>
    <row r="137" spans="127:151" ht="13.05" customHeight="1" x14ac:dyDescent="0.25">
      <c r="DW137" s="99" t="e">
        <f>IF(HLOOKUP($DW$122,Características!$AD$12:$AD$27,16,FALSE)=0,"",HLOOKUP($DW$122,Características!$AD$12:$AD$27,16,FALSE))</f>
        <v>#N/A</v>
      </c>
      <c r="DX137" s="100"/>
    </row>
    <row r="138" spans="127:151" ht="13.05" customHeight="1" x14ac:dyDescent="0.25">
      <c r="DW138" s="101"/>
      <c r="DX138" s="101"/>
    </row>
    <row r="139" spans="127:151" ht="13.05" customHeight="1" x14ac:dyDescent="0.25"/>
    <row r="140" spans="127:151" ht="13.05" customHeight="1" x14ac:dyDescent="0.25">
      <c r="DW140" s="102" t="s">
        <v>184</v>
      </c>
    </row>
    <row r="141" spans="127:151" ht="13.05" customHeight="1" x14ac:dyDescent="0.25">
      <c r="DW141" s="78" t="s">
        <v>144</v>
      </c>
    </row>
    <row r="142" spans="127:151" ht="13.05" customHeight="1" x14ac:dyDescent="0.25">
      <c r="DW142" s="81" t="s">
        <v>153</v>
      </c>
    </row>
    <row r="143" spans="127:151" ht="13.05" customHeight="1" x14ac:dyDescent="0.25">
      <c r="DW143" s="78" t="s">
        <v>146</v>
      </c>
    </row>
    <row r="144" spans="127:151" ht="13.05" customHeight="1" x14ac:dyDescent="0.25">
      <c r="DW144" s="81" t="s">
        <v>145</v>
      </c>
    </row>
    <row r="145" spans="127:129" ht="13.05" customHeight="1" x14ac:dyDescent="0.25">
      <c r="DW145" s="78" t="s">
        <v>154</v>
      </c>
    </row>
    <row r="146" spans="127:129" ht="13.05" customHeight="1" x14ac:dyDescent="0.25">
      <c r="DW146" s="81" t="s">
        <v>143</v>
      </c>
    </row>
    <row r="147" spans="127:129" ht="13.05" customHeight="1" x14ac:dyDescent="0.25">
      <c r="DW147" s="81" t="s">
        <v>151</v>
      </c>
    </row>
    <row r="148" spans="127:129" ht="13.05" customHeight="1" x14ac:dyDescent="0.25">
      <c r="DW148" s="78" t="s">
        <v>142</v>
      </c>
    </row>
    <row r="149" spans="127:129" ht="13.05" customHeight="1" x14ac:dyDescent="0.25">
      <c r="DW149" s="81" t="s">
        <v>147</v>
      </c>
    </row>
    <row r="150" spans="127:129" ht="13.05" customHeight="1" x14ac:dyDescent="0.25">
      <c r="DW150" s="81" t="s">
        <v>149</v>
      </c>
    </row>
    <row r="151" spans="127:129" ht="13.05" customHeight="1" x14ac:dyDescent="0.25">
      <c r="DW151" s="78" t="s">
        <v>148</v>
      </c>
    </row>
    <row r="152" spans="127:129" ht="13.05" customHeight="1" x14ac:dyDescent="0.25">
      <c r="DW152" s="81" t="s">
        <v>155</v>
      </c>
    </row>
    <row r="153" spans="127:129" ht="13.05" customHeight="1" x14ac:dyDescent="0.25">
      <c r="DW153" s="78" t="s">
        <v>156</v>
      </c>
    </row>
    <row r="154" spans="127:129" ht="13.05" customHeight="1" x14ac:dyDescent="0.25">
      <c r="DW154" s="78" t="s">
        <v>152</v>
      </c>
    </row>
    <row r="155" spans="127:129" ht="13.05" customHeight="1" x14ac:dyDescent="0.25">
      <c r="DW155" s="81" t="s">
        <v>141</v>
      </c>
    </row>
    <row r="156" spans="127:129" ht="13.05" customHeight="1" x14ac:dyDescent="0.25">
      <c r="DW156" s="78" t="s">
        <v>150</v>
      </c>
    </row>
    <row r="157" spans="127:129" ht="13.05" customHeight="1" x14ac:dyDescent="0.25">
      <c r="DW157" s="78" t="s">
        <v>140</v>
      </c>
    </row>
    <row r="158" spans="127:129" ht="13.05" customHeight="1" x14ac:dyDescent="0.25"/>
    <row r="159" spans="127:129" ht="13.05" customHeight="1" x14ac:dyDescent="0.25">
      <c r="DW159" s="103" t="s">
        <v>185</v>
      </c>
      <c r="DX159" s="103"/>
      <c r="DY159" s="103"/>
    </row>
    <row r="160" spans="127:129" ht="13.05" customHeight="1" x14ac:dyDescent="0.25">
      <c r="DW160" s="104" t="s">
        <v>120</v>
      </c>
      <c r="DX160" s="49">
        <v>2</v>
      </c>
      <c r="DY160" s="49" t="s">
        <v>182</v>
      </c>
    </row>
    <row r="161" spans="127:133" ht="13.05" customHeight="1" x14ac:dyDescent="0.25">
      <c r="DW161" s="104" t="s">
        <v>121</v>
      </c>
      <c r="DX161" s="49">
        <v>2</v>
      </c>
      <c r="DY161" s="49" t="s">
        <v>182</v>
      </c>
    </row>
    <row r="162" spans="127:133" ht="13.05" customHeight="1" x14ac:dyDescent="0.25">
      <c r="DW162" s="104" t="s">
        <v>123</v>
      </c>
      <c r="DX162" s="49">
        <v>1</v>
      </c>
      <c r="DY162" s="49" t="s">
        <v>110</v>
      </c>
    </row>
    <row r="163" spans="127:133" ht="13.05" customHeight="1" x14ac:dyDescent="0.25">
      <c r="DW163" s="104" t="s">
        <v>122</v>
      </c>
      <c r="DX163" s="49">
        <v>1</v>
      </c>
      <c r="DY163" s="49" t="s">
        <v>110</v>
      </c>
    </row>
    <row r="164" spans="127:133" ht="13.05" customHeight="1" x14ac:dyDescent="0.25">
      <c r="DW164" s="104" t="s">
        <v>124</v>
      </c>
      <c r="DX164" s="49">
        <v>2</v>
      </c>
      <c r="DY164" s="49" t="s">
        <v>485</v>
      </c>
    </row>
    <row r="165" spans="127:133" ht="13.05" customHeight="1" x14ac:dyDescent="0.25">
      <c r="DW165" s="104" t="s">
        <v>125</v>
      </c>
      <c r="DX165" s="49">
        <v>1</v>
      </c>
      <c r="DY165" s="49" t="s">
        <v>182</v>
      </c>
    </row>
    <row r="166" spans="127:133" ht="13.05" customHeight="1" x14ac:dyDescent="0.25">
      <c r="DW166" s="104" t="s">
        <v>126</v>
      </c>
      <c r="DX166" s="49">
        <v>2</v>
      </c>
      <c r="DY166" s="49" t="s">
        <v>486</v>
      </c>
    </row>
    <row r="167" spans="127:133" ht="13.05" customHeight="1" x14ac:dyDescent="0.25">
      <c r="DW167" s="104" t="s">
        <v>130</v>
      </c>
      <c r="DX167" s="49">
        <v>1</v>
      </c>
      <c r="DY167" s="49" t="s">
        <v>110</v>
      </c>
    </row>
    <row r="168" spans="127:133" ht="13.05" customHeight="1" x14ac:dyDescent="0.25">
      <c r="DW168" s="104" t="s">
        <v>127</v>
      </c>
      <c r="DX168" s="49">
        <v>1</v>
      </c>
      <c r="DY168" s="49" t="s">
        <v>109</v>
      </c>
    </row>
    <row r="169" spans="127:133" ht="13.05" customHeight="1" x14ac:dyDescent="0.25">
      <c r="DW169" s="104" t="s">
        <v>128</v>
      </c>
      <c r="DX169" s="49">
        <v>1</v>
      </c>
      <c r="DY169" s="49" t="s">
        <v>182</v>
      </c>
    </row>
    <row r="170" spans="127:133" ht="13.05" customHeight="1" x14ac:dyDescent="0.25">
      <c r="DW170" s="105" t="s">
        <v>129</v>
      </c>
      <c r="DX170" s="49">
        <v>2</v>
      </c>
      <c r="DY170" s="49" t="s">
        <v>487</v>
      </c>
    </row>
    <row r="171" spans="127:133" ht="13.05" customHeight="1" x14ac:dyDescent="0.25">
      <c r="EA171" s="105" t="s">
        <v>124</v>
      </c>
      <c r="EB171" s="49">
        <v>1</v>
      </c>
      <c r="EC171" s="49" t="s">
        <v>109</v>
      </c>
    </row>
    <row r="172" spans="127:133" ht="13.05" customHeight="1" x14ac:dyDescent="0.25">
      <c r="DW172" s="105" t="s">
        <v>195</v>
      </c>
      <c r="DX172" s="49">
        <v>1</v>
      </c>
      <c r="DY172" s="49" t="s">
        <v>182</v>
      </c>
      <c r="EA172" s="105" t="s">
        <v>126</v>
      </c>
      <c r="EB172" s="49">
        <v>1</v>
      </c>
      <c r="EC172" s="49" t="s">
        <v>182</v>
      </c>
    </row>
    <row r="173" spans="127:133" ht="13.05" customHeight="1" x14ac:dyDescent="0.25">
      <c r="DW173" s="105" t="s">
        <v>196</v>
      </c>
      <c r="DX173" s="49">
        <v>2</v>
      </c>
      <c r="DY173" s="49" t="s">
        <v>182</v>
      </c>
      <c r="EA173" s="105" t="s">
        <v>129</v>
      </c>
      <c r="EB173" s="49">
        <v>1</v>
      </c>
      <c r="EC173" s="49" t="s">
        <v>183</v>
      </c>
    </row>
    <row r="174" spans="127:133" ht="13.05" customHeight="1" x14ac:dyDescent="0.25">
      <c r="DW174" s="105" t="s">
        <v>191</v>
      </c>
      <c r="DX174" s="49">
        <v>1</v>
      </c>
      <c r="DY174" s="49" t="s">
        <v>109</v>
      </c>
      <c r="EA174" s="105" t="s">
        <v>120</v>
      </c>
      <c r="EB174" s="49">
        <v>1</v>
      </c>
      <c r="EC174" s="49" t="s">
        <v>182</v>
      </c>
    </row>
    <row r="175" spans="127:133" ht="13.05" customHeight="1" x14ac:dyDescent="0.25">
      <c r="DW175" s="105" t="s">
        <v>197</v>
      </c>
      <c r="DX175" s="49">
        <v>2</v>
      </c>
      <c r="DY175" s="49" t="s">
        <v>109</v>
      </c>
    </row>
    <row r="176" spans="127:133" ht="13.05" customHeight="1" x14ac:dyDescent="0.25">
      <c r="DW176" s="105" t="s">
        <v>198</v>
      </c>
      <c r="DX176" s="49">
        <v>2</v>
      </c>
      <c r="DY176" s="49" t="s">
        <v>182</v>
      </c>
    </row>
    <row r="177" spans="127:129" ht="13.05" customHeight="1" x14ac:dyDescent="0.25">
      <c r="DW177" s="105" t="s">
        <v>199</v>
      </c>
      <c r="DX177" s="49">
        <v>1</v>
      </c>
      <c r="DY177" s="49" t="s">
        <v>182</v>
      </c>
    </row>
    <row r="178" spans="127:129" ht="13.05" customHeight="1" x14ac:dyDescent="0.25">
      <c r="DW178" s="105" t="s">
        <v>192</v>
      </c>
      <c r="DX178" s="49">
        <v>1</v>
      </c>
      <c r="DY178" s="49" t="s">
        <v>110</v>
      </c>
    </row>
    <row r="179" spans="127:129" ht="13.05" customHeight="1" x14ac:dyDescent="0.25">
      <c r="DW179" s="105" t="s">
        <v>193</v>
      </c>
      <c r="DX179" s="49">
        <v>2</v>
      </c>
      <c r="DY179" s="49" t="s">
        <v>182</v>
      </c>
    </row>
    <row r="180" spans="127:129" ht="13.05" customHeight="1" x14ac:dyDescent="0.25">
      <c r="DW180" s="105" t="s">
        <v>187</v>
      </c>
      <c r="DX180" s="49">
        <v>2</v>
      </c>
      <c r="DY180" s="49" t="s">
        <v>182</v>
      </c>
    </row>
    <row r="181" spans="127:129" ht="13.05" customHeight="1" x14ac:dyDescent="0.25">
      <c r="DW181" s="105" t="s">
        <v>200</v>
      </c>
      <c r="DX181" s="49">
        <v>2</v>
      </c>
      <c r="DY181" s="49" t="s">
        <v>182</v>
      </c>
    </row>
    <row r="182" spans="127:129" ht="13.05" customHeight="1" x14ac:dyDescent="0.25">
      <c r="DW182" s="105" t="s">
        <v>188</v>
      </c>
      <c r="DX182" s="49">
        <v>2</v>
      </c>
      <c r="DY182" s="49" t="s">
        <v>485</v>
      </c>
    </row>
    <row r="183" spans="127:129" ht="13.05" customHeight="1" x14ac:dyDescent="0.25">
      <c r="DW183" s="105" t="s">
        <v>189</v>
      </c>
      <c r="DX183" s="49">
        <v>2</v>
      </c>
      <c r="DY183" s="49" t="s">
        <v>182</v>
      </c>
    </row>
    <row r="184" spans="127:129" ht="13.05" customHeight="1" x14ac:dyDescent="0.25">
      <c r="DW184" s="105" t="s">
        <v>194</v>
      </c>
      <c r="DX184" s="49">
        <v>2</v>
      </c>
      <c r="DY184" s="49" t="s">
        <v>182</v>
      </c>
    </row>
    <row r="185" spans="127:129" ht="13.05" customHeight="1" x14ac:dyDescent="0.25">
      <c r="DW185" s="105" t="s">
        <v>190</v>
      </c>
      <c r="DX185" s="49">
        <v>1</v>
      </c>
      <c r="DY185" s="49" t="s">
        <v>110</v>
      </c>
    </row>
    <row r="186" spans="127:129" ht="13.05" customHeight="1" x14ac:dyDescent="0.25"/>
  </sheetData>
  <sheetProtection formatCells="0" formatColumns="0" formatRows="0"/>
  <autoFilter ref="EE86:EU135"/>
  <sortState ref="DW105:EC110">
    <sortCondition ref="DW105:DW110"/>
  </sortState>
  <mergeCells count="372">
    <mergeCell ref="CO8:DN8"/>
    <mergeCell ref="DJ49:DN49"/>
    <mergeCell ref="DJ50:DN50"/>
    <mergeCell ref="DJ51:DN51"/>
    <mergeCell ref="DJ52:DN52"/>
    <mergeCell ref="DJ53:DN53"/>
    <mergeCell ref="BQ45:BZ45"/>
    <mergeCell ref="B53:Y53"/>
    <mergeCell ref="BQ54:CL54"/>
    <mergeCell ref="DJ38:DN38"/>
    <mergeCell ref="DJ19:DN19"/>
    <mergeCell ref="DJ20:DN20"/>
    <mergeCell ref="DJ21:DN21"/>
    <mergeCell ref="DJ29:DN29"/>
    <mergeCell ref="DJ23:DN23"/>
    <mergeCell ref="DJ22:DN22"/>
    <mergeCell ref="CO9:CX9"/>
    <mergeCell ref="DJ9:DN9"/>
    <mergeCell ref="DJ41:DN42"/>
    <mergeCell ref="CO10:DG10"/>
    <mergeCell ref="CO11:DG11"/>
    <mergeCell ref="CO12:DG12"/>
    <mergeCell ref="CO13:DG13"/>
    <mergeCell ref="CO14:DG14"/>
    <mergeCell ref="CC46:CL47"/>
    <mergeCell ref="BQ46:BZ47"/>
    <mergeCell ref="CO22:DG22"/>
    <mergeCell ref="CO23:DG23"/>
    <mergeCell ref="CO24:DG24"/>
    <mergeCell ref="CO25:DG25"/>
    <mergeCell ref="CO27:DG27"/>
    <mergeCell ref="CO37:DG37"/>
    <mergeCell ref="CO38:DG38"/>
    <mergeCell ref="CO39:DG39"/>
    <mergeCell ref="CO28:DG28"/>
    <mergeCell ref="CO29:DG29"/>
    <mergeCell ref="CO30:DG30"/>
    <mergeCell ref="CO31:DG31"/>
    <mergeCell ref="CO32:DG32"/>
    <mergeCell ref="CO33:DG33"/>
    <mergeCell ref="CO34:DG34"/>
    <mergeCell ref="CO35:DG35"/>
    <mergeCell ref="CO36:DG36"/>
    <mergeCell ref="CO41:DH41"/>
    <mergeCell ref="CO42:DH42"/>
    <mergeCell ref="CO26:DG26"/>
    <mergeCell ref="CO15:DG15"/>
    <mergeCell ref="CO16:DG16"/>
    <mergeCell ref="CO17:DG17"/>
    <mergeCell ref="CO18:DG18"/>
    <mergeCell ref="CO19:DG19"/>
    <mergeCell ref="CO20:DG20"/>
    <mergeCell ref="CO21:DG21"/>
    <mergeCell ref="DJ10:DN10"/>
    <mergeCell ref="DJ11:DN11"/>
    <mergeCell ref="DJ12:DN12"/>
    <mergeCell ref="DJ13:DN13"/>
    <mergeCell ref="DJ14:DN14"/>
    <mergeCell ref="DJ15:DN15"/>
    <mergeCell ref="DJ16:DN16"/>
    <mergeCell ref="DJ17:DN17"/>
    <mergeCell ref="DJ18:DN18"/>
    <mergeCell ref="B83:AC83"/>
    <mergeCell ref="AE83:BF83"/>
    <mergeCell ref="AX74:BB74"/>
    <mergeCell ref="AI81:AM81"/>
    <mergeCell ref="AI73:AM73"/>
    <mergeCell ref="AD77:AM77"/>
    <mergeCell ref="Q77:Z77"/>
    <mergeCell ref="V81:Z81"/>
    <mergeCell ref="AD81:AH81"/>
    <mergeCell ref="AD75:AM75"/>
    <mergeCell ref="G81:K81"/>
    <mergeCell ref="V73:Z73"/>
    <mergeCell ref="Q75:Z75"/>
    <mergeCell ref="B79:AM79"/>
    <mergeCell ref="B81:F81"/>
    <mergeCell ref="Q81:U81"/>
    <mergeCell ref="Q73:U73"/>
    <mergeCell ref="AE68:BF68"/>
    <mergeCell ref="AE69:BF69"/>
    <mergeCell ref="AE62:BF62"/>
    <mergeCell ref="AE63:BF63"/>
    <mergeCell ref="AE64:BF64"/>
    <mergeCell ref="AE65:BF65"/>
    <mergeCell ref="AE66:BF66"/>
    <mergeCell ref="AE67:BF67"/>
    <mergeCell ref="B68:AC68"/>
    <mergeCell ref="B69:AC69"/>
    <mergeCell ref="B66:AC66"/>
    <mergeCell ref="B62:AC62"/>
    <mergeCell ref="B63:AC63"/>
    <mergeCell ref="B64:AC64"/>
    <mergeCell ref="B65:AC65"/>
    <mergeCell ref="Q71:Z71"/>
    <mergeCell ref="AD71:AM71"/>
    <mergeCell ref="B41:W41"/>
    <mergeCell ref="AE36:AZ36"/>
    <mergeCell ref="AE37:AZ37"/>
    <mergeCell ref="B46:Y46"/>
    <mergeCell ref="B47:Y47"/>
    <mergeCell ref="Z47:AE47"/>
    <mergeCell ref="AF47:AJ47"/>
    <mergeCell ref="AK47:AO47"/>
    <mergeCell ref="AP47:AT47"/>
    <mergeCell ref="B42:W42"/>
    <mergeCell ref="B37:W37"/>
    <mergeCell ref="B38:W38"/>
    <mergeCell ref="B43:AD43"/>
    <mergeCell ref="AE43:BG43"/>
    <mergeCell ref="BB40:BF40"/>
    <mergeCell ref="BB41:BF41"/>
    <mergeCell ref="BB42:BF42"/>
    <mergeCell ref="Y42:AC42"/>
    <mergeCell ref="BB38:BF38"/>
    <mergeCell ref="BB39:BF39"/>
    <mergeCell ref="AP46:AT46"/>
    <mergeCell ref="AK46:AO46"/>
    <mergeCell ref="CO69:DM69"/>
    <mergeCell ref="CO63:DN63"/>
    <mergeCell ref="CO62:DN62"/>
    <mergeCell ref="CO60:DN60"/>
    <mergeCell ref="CO64:DN64"/>
    <mergeCell ref="B67:AC67"/>
    <mergeCell ref="CO68:DM68"/>
    <mergeCell ref="CO56:DH56"/>
    <mergeCell ref="B48:Y48"/>
    <mergeCell ref="B49:Y49"/>
    <mergeCell ref="B51:Y51"/>
    <mergeCell ref="B52:Y52"/>
    <mergeCell ref="B50:Y50"/>
    <mergeCell ref="DJ55:DN55"/>
    <mergeCell ref="DJ56:DN56"/>
    <mergeCell ref="CO65:DN65"/>
    <mergeCell ref="CO66:DN66"/>
    <mergeCell ref="CO67:DN67"/>
    <mergeCell ref="CO48:DH48"/>
    <mergeCell ref="CO49:DH49"/>
    <mergeCell ref="CO50:DH50"/>
    <mergeCell ref="CO51:DH51"/>
    <mergeCell ref="CO52:DH52"/>
    <mergeCell ref="CO53:DH53"/>
    <mergeCell ref="DW27:DY27"/>
    <mergeCell ref="DJ24:DN24"/>
    <mergeCell ref="DJ54:DN54"/>
    <mergeCell ref="CO55:DH55"/>
    <mergeCell ref="DJ37:DN37"/>
    <mergeCell ref="DJ32:DN32"/>
    <mergeCell ref="DJ33:DN33"/>
    <mergeCell ref="DJ34:DN34"/>
    <mergeCell ref="DJ35:DN35"/>
    <mergeCell ref="DJ36:DN36"/>
    <mergeCell ref="DJ30:DN30"/>
    <mergeCell ref="DJ31:DN31"/>
    <mergeCell ref="DJ25:DN25"/>
    <mergeCell ref="DJ26:DN26"/>
    <mergeCell ref="DJ39:DN39"/>
    <mergeCell ref="CO40:DE40"/>
    <mergeCell ref="DJ40:DN40"/>
    <mergeCell ref="CO45:DN45"/>
    <mergeCell ref="CO46:DH46"/>
    <mergeCell ref="CO47:DH47"/>
    <mergeCell ref="CO54:DH54"/>
    <mergeCell ref="DJ46:DN46"/>
    <mergeCell ref="DJ47:DN47"/>
    <mergeCell ref="DJ48:DN48"/>
    <mergeCell ref="B1:DO1"/>
    <mergeCell ref="AJ14:AP14"/>
    <mergeCell ref="BH35:CC35"/>
    <mergeCell ref="CC45:CL45"/>
    <mergeCell ref="BB30:BF30"/>
    <mergeCell ref="B26:CJ26"/>
    <mergeCell ref="B35:W35"/>
    <mergeCell ref="AE32:AZ32"/>
    <mergeCell ref="AE33:AZ33"/>
    <mergeCell ref="Y32:AC32"/>
    <mergeCell ref="Y33:AC33"/>
    <mergeCell ref="Y35:AC35"/>
    <mergeCell ref="BB28:BF28"/>
    <mergeCell ref="N10:T10"/>
    <mergeCell ref="BH27:CC27"/>
    <mergeCell ref="Y36:AC36"/>
    <mergeCell ref="BB27:BF27"/>
    <mergeCell ref="BB37:BF37"/>
    <mergeCell ref="AE31:AZ31"/>
    <mergeCell ref="Y40:AC40"/>
    <mergeCell ref="Y41:AC41"/>
    <mergeCell ref="B36:W36"/>
    <mergeCell ref="B39:W39"/>
    <mergeCell ref="B40:W40"/>
    <mergeCell ref="AJ10:AP10"/>
    <mergeCell ref="AJ12:AP12"/>
    <mergeCell ref="Y27:AC27"/>
    <mergeCell ref="Y37:AC37"/>
    <mergeCell ref="AE35:AZ35"/>
    <mergeCell ref="AE30:AZ30"/>
    <mergeCell ref="AE27:AZ27"/>
    <mergeCell ref="B34:W34"/>
    <mergeCell ref="Y34:AC34"/>
    <mergeCell ref="Y28:AC28"/>
    <mergeCell ref="B28:W28"/>
    <mergeCell ref="B29:W29"/>
    <mergeCell ref="B30:W30"/>
    <mergeCell ref="B31:W31"/>
    <mergeCell ref="B32:W32"/>
    <mergeCell ref="B14:M14"/>
    <mergeCell ref="B16:M16"/>
    <mergeCell ref="X10:AI10"/>
    <mergeCell ref="X12:AI12"/>
    <mergeCell ref="X14:AI14"/>
    <mergeCell ref="B27:W27"/>
    <mergeCell ref="B33:W33"/>
    <mergeCell ref="B10:M10"/>
    <mergeCell ref="B12:M12"/>
    <mergeCell ref="Y29:AC29"/>
    <mergeCell ref="Y31:AC31"/>
    <mergeCell ref="BB33:BF33"/>
    <mergeCell ref="BH36:CC36"/>
    <mergeCell ref="Y38:AC38"/>
    <mergeCell ref="Y39:AC39"/>
    <mergeCell ref="BB31:BF31"/>
    <mergeCell ref="N12:T12"/>
    <mergeCell ref="N16:T16"/>
    <mergeCell ref="N14:T14"/>
    <mergeCell ref="BB29:BF29"/>
    <mergeCell ref="BB32:BF32"/>
    <mergeCell ref="AE28:AZ28"/>
    <mergeCell ref="AE29:AZ29"/>
    <mergeCell ref="Y30:AC30"/>
    <mergeCell ref="BB35:BF35"/>
    <mergeCell ref="AE34:AZ34"/>
    <mergeCell ref="BB34:BF34"/>
    <mergeCell ref="BH34:CC34"/>
    <mergeCell ref="DJ27:DN27"/>
    <mergeCell ref="DJ28:DN28"/>
    <mergeCell ref="CE28:CI28"/>
    <mergeCell ref="CE29:CI29"/>
    <mergeCell ref="CE35:CI35"/>
    <mergeCell ref="BH29:CC29"/>
    <mergeCell ref="BH32:CC32"/>
    <mergeCell ref="BH33:CC33"/>
    <mergeCell ref="CE30:CI30"/>
    <mergeCell ref="CE31:CI31"/>
    <mergeCell ref="CE32:CI32"/>
    <mergeCell ref="BH30:CC30"/>
    <mergeCell ref="BH31:CC31"/>
    <mergeCell ref="BH28:CC28"/>
    <mergeCell ref="CE27:CI27"/>
    <mergeCell ref="CE33:CI33"/>
    <mergeCell ref="CE34:CI34"/>
    <mergeCell ref="AF46:AJ46"/>
    <mergeCell ref="Z46:AE46"/>
    <mergeCell ref="AK45:AO45"/>
    <mergeCell ref="CE36:CI36"/>
    <mergeCell ref="BB36:BF36"/>
    <mergeCell ref="CE38:CI38"/>
    <mergeCell ref="CE40:CI40"/>
    <mergeCell ref="BH38:CC38"/>
    <mergeCell ref="BH39:CC39"/>
    <mergeCell ref="BH43:CJ43"/>
    <mergeCell ref="CE42:CI42"/>
    <mergeCell ref="CE39:CI39"/>
    <mergeCell ref="CE41:CI41"/>
    <mergeCell ref="BH37:CC37"/>
    <mergeCell ref="CE37:CI37"/>
    <mergeCell ref="BH41:CC41"/>
    <mergeCell ref="BH42:CC42"/>
    <mergeCell ref="AE38:AZ38"/>
    <mergeCell ref="AE39:AZ39"/>
    <mergeCell ref="AE40:AZ40"/>
    <mergeCell ref="AE41:AZ41"/>
    <mergeCell ref="AE42:AZ42"/>
    <mergeCell ref="BH40:CC40"/>
    <mergeCell ref="BJ46:BN46"/>
    <mergeCell ref="BE46:BI46"/>
    <mergeCell ref="AZ46:BD46"/>
    <mergeCell ref="AU46:AY46"/>
    <mergeCell ref="BE45:BI45"/>
    <mergeCell ref="BJ45:BN45"/>
    <mergeCell ref="AU47:AY47"/>
    <mergeCell ref="AZ47:BD47"/>
    <mergeCell ref="BE47:BI47"/>
    <mergeCell ref="BJ47:BN47"/>
    <mergeCell ref="Z48:AE48"/>
    <mergeCell ref="AF48:AJ48"/>
    <mergeCell ref="AK48:AO48"/>
    <mergeCell ref="AP48:AT48"/>
    <mergeCell ref="AU48:AY48"/>
    <mergeCell ref="AZ48:BD48"/>
    <mergeCell ref="BE48:BI48"/>
    <mergeCell ref="BJ48:BN48"/>
    <mergeCell ref="Z49:AE49"/>
    <mergeCell ref="AF49:AJ49"/>
    <mergeCell ref="AK49:AO49"/>
    <mergeCell ref="AP49:AT49"/>
    <mergeCell ref="AU49:AY49"/>
    <mergeCell ref="AZ49:BD49"/>
    <mergeCell ref="BE49:BI49"/>
    <mergeCell ref="BJ49:BN49"/>
    <mergeCell ref="BE50:BI50"/>
    <mergeCell ref="BJ50:BN50"/>
    <mergeCell ref="Z51:AE51"/>
    <mergeCell ref="AF51:AJ51"/>
    <mergeCell ref="AK51:AO51"/>
    <mergeCell ref="AP51:AT51"/>
    <mergeCell ref="AU51:AY51"/>
    <mergeCell ref="AZ51:BD51"/>
    <mergeCell ref="BE51:BI51"/>
    <mergeCell ref="BJ51:BN51"/>
    <mergeCell ref="DJ57:DN57"/>
    <mergeCell ref="AL55:BH55"/>
    <mergeCell ref="AL56:BH56"/>
    <mergeCell ref="AL57:BH57"/>
    <mergeCell ref="AF55:AJ55"/>
    <mergeCell ref="AF56:AJ56"/>
    <mergeCell ref="AF57:AJ57"/>
    <mergeCell ref="B54:BN54"/>
    <mergeCell ref="BJ55:BN55"/>
    <mergeCell ref="BJ56:BN56"/>
    <mergeCell ref="BJ57:BN57"/>
    <mergeCell ref="B57:AD57"/>
    <mergeCell ref="B56:AD56"/>
    <mergeCell ref="BQ55:BZ55"/>
    <mergeCell ref="CC55:CL55"/>
    <mergeCell ref="CV2:DF2"/>
    <mergeCell ref="DG2:DH2"/>
    <mergeCell ref="CU3:DF3"/>
    <mergeCell ref="CU4:DF4"/>
    <mergeCell ref="BW3:BX3"/>
    <mergeCell ref="DG3:DH3"/>
    <mergeCell ref="DG4:DH4"/>
    <mergeCell ref="B8:X9"/>
    <mergeCell ref="BQ56:BZ57"/>
    <mergeCell ref="CC56:CL57"/>
    <mergeCell ref="CO57:DH57"/>
    <mergeCell ref="Z52:AE52"/>
    <mergeCell ref="AF52:AJ52"/>
    <mergeCell ref="AK52:AO52"/>
    <mergeCell ref="AP52:AT52"/>
    <mergeCell ref="AU52:AY52"/>
    <mergeCell ref="AZ52:BD52"/>
    <mergeCell ref="BE52:BI52"/>
    <mergeCell ref="BJ52:BN52"/>
    <mergeCell ref="Z53:AE53"/>
    <mergeCell ref="AF53:AJ53"/>
    <mergeCell ref="AK53:AO53"/>
    <mergeCell ref="AP53:AT53"/>
    <mergeCell ref="AU53:AY53"/>
    <mergeCell ref="BH69:CM69"/>
    <mergeCell ref="BH62:CM62"/>
    <mergeCell ref="BH63:CM63"/>
    <mergeCell ref="BH64:CM64"/>
    <mergeCell ref="BH65:CM65"/>
    <mergeCell ref="BH66:CM66"/>
    <mergeCell ref="BH67:CM67"/>
    <mergeCell ref="BH68:CM68"/>
    <mergeCell ref="B17:AC18"/>
    <mergeCell ref="AP45:AS45"/>
    <mergeCell ref="BA45:BD45"/>
    <mergeCell ref="AT45:AZ45"/>
    <mergeCell ref="W19:AB19"/>
    <mergeCell ref="W21:AB21"/>
    <mergeCell ref="W23:AB23"/>
    <mergeCell ref="AZ53:BD53"/>
    <mergeCell ref="BE53:BI53"/>
    <mergeCell ref="BJ53:BN53"/>
    <mergeCell ref="Z50:AE50"/>
    <mergeCell ref="AF50:AJ50"/>
    <mergeCell ref="AK50:AO50"/>
    <mergeCell ref="AP50:AT50"/>
    <mergeCell ref="AU50:AY50"/>
    <mergeCell ref="AZ50:BD50"/>
  </mergeCells>
  <phoneticPr fontId="2" type="noConversion"/>
  <dataValidations count="2">
    <dataValidation type="whole" showInputMessage="1" showErrorMessage="1" sqref="DG2 DI2:DK2">
      <formula1>1</formula1>
      <formula2>99</formula2>
    </dataValidation>
    <dataValidation type="whole" showInputMessage="1" showErrorMessage="1" sqref="BW3">
      <formula1>0</formula1>
      <formula2>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9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29</vt:i4>
      </vt:variant>
    </vt:vector>
  </HeadingPairs>
  <TitlesOfParts>
    <vt:vector size="35" baseType="lpstr">
      <vt:lpstr>Características</vt:lpstr>
      <vt:lpstr>Habilidades</vt:lpstr>
      <vt:lpstr>Combate</vt:lpstr>
      <vt:lpstr>Magias</vt:lpstr>
      <vt:lpstr>Pertences</vt:lpstr>
      <vt:lpstr>Ficha</vt:lpstr>
      <vt:lpstr>AGI</vt:lpstr>
      <vt:lpstr>Ficha!Area_de_impressao</vt:lpstr>
      <vt:lpstr>Magias!Area_de_impressao</vt:lpstr>
      <vt:lpstr>AUR</vt:lpstr>
      <vt:lpstr>BonusMag1</vt:lpstr>
      <vt:lpstr>BonusMag2</vt:lpstr>
      <vt:lpstr>BonusMag3</vt:lpstr>
      <vt:lpstr>CAR</vt:lpstr>
      <vt:lpstr>CustoRastreador</vt:lpstr>
      <vt:lpstr>EHSorteada</vt:lpstr>
      <vt:lpstr>Equipa1</vt:lpstr>
      <vt:lpstr>Equipa2</vt:lpstr>
      <vt:lpstr>Equipa3</vt:lpstr>
      <vt:lpstr>Equipa4</vt:lpstr>
      <vt:lpstr>Equipa5</vt:lpstr>
      <vt:lpstr>Equipa6</vt:lpstr>
      <vt:lpstr>Especialização</vt:lpstr>
      <vt:lpstr>Estagio</vt:lpstr>
      <vt:lpstr>FIS</vt:lpstr>
      <vt:lpstr>FOR</vt:lpstr>
      <vt:lpstr>HabilidadeEspecializadaEscolhida</vt:lpstr>
      <vt:lpstr>INT</vt:lpstr>
      <vt:lpstr>ListaArmas</vt:lpstr>
      <vt:lpstr>PER</vt:lpstr>
      <vt:lpstr>Profissao</vt:lpstr>
      <vt:lpstr>Raça</vt:lpstr>
      <vt:lpstr>Rastreador</vt:lpstr>
      <vt:lpstr>TabelaPontosCombate</vt:lpstr>
      <vt:lpstr>TabelaRaça</vt:lpstr>
    </vt:vector>
  </TitlesOfParts>
  <Company>Kille®Soft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Marcelo Rodrigues</cp:lastModifiedBy>
  <cp:lastPrinted>2017-03-05T15:42:26Z</cp:lastPrinted>
  <dcterms:created xsi:type="dcterms:W3CDTF">2005-05-12T15:55:28Z</dcterms:created>
  <dcterms:modified xsi:type="dcterms:W3CDTF">2017-05-28T20:13:57Z</dcterms:modified>
</cp:coreProperties>
</file>